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Q:\Рабочие документы\Экономическая служба\Емельянова А. П\Тариф 2023\Выпадающие по ТП за 2021 г\"/>
    </mc:Choice>
  </mc:AlternateContent>
  <xr:revisionPtr revIDLastSave="0" documentId="13_ncr:1_{C8E0BE6C-9A43-40A0-9150-5F2CCE57A84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до 15 кВт_2021 " sheetId="4" r:id="rId1"/>
    <sheet name="до 150 кВт_2021" sheetId="2" r:id="rId2"/>
    <sheet name="20_2021" sheetId="5" state="hidden" r:id="rId3"/>
    <sheet name="Себестоимость_2019" sheetId="7" state="hidden" r:id="rId4"/>
    <sheet name="08_2021" sheetId="6" state="hidden" r:id="rId5"/>
    <sheet name="ПУ в рамках ТП" sheetId="9" state="hidden" r:id="rId6"/>
    <sheet name="Расчет выпадающих на 2023 год" sheetId="8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>#REF!</definedName>
    <definedName name="___RAZ2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>#REF!</definedName>
    <definedName name="__RAZ2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>#REF!</definedName>
    <definedName name="_RAZ2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4" hidden="1">'08_2021'!$A$1:$Q$117</definedName>
    <definedName name="_xlnm._FilterDatabase" localSheetId="2" hidden="1">'20_2021'!$A$1:$S$95</definedName>
    <definedName name="_xlnm._FilterDatabase" localSheetId="5" hidden="1">'ПУ в рамках ТП'!$A$1:$Q$332</definedName>
    <definedName name="A" localSheetId="0">#REF!</definedName>
    <definedName name="A" localSheetId="1">#REF!</definedName>
    <definedName name="A" localSheetId="3">#REF!</definedName>
    <definedName name="A">#REF!</definedName>
    <definedName name="B" localSheetId="0">#REF!</definedName>
    <definedName name="B" localSheetId="1">#REF!</definedName>
    <definedName name="B" localSheetId="3">#REF!</definedName>
    <definedName name="B">#REF!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" localSheetId="3">[2]Списки!$K$38:$K$85</definedName>
    <definedName name="I">[3]Списки!$K$38:$K$85</definedName>
    <definedName name="INDASS1">[1]MAIN!$F$247:$AJ$247</definedName>
    <definedName name="INDASS2">[1]MAIN!$F$265:$AJ$265</definedName>
    <definedName name="ISHOD1">#REF!</definedName>
    <definedName name="ISHOD2_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>#REF!</definedName>
    <definedName name="RAZMER2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_xlnm.Print_Titles" localSheetId="0">'до 15 кВт_2021 '!$7:$11</definedName>
    <definedName name="Максим" localSheetId="0">#REF!</definedName>
    <definedName name="Максим" localSheetId="1">#REF!</definedName>
    <definedName name="Максим" localSheetId="3">#REF!</definedName>
    <definedName name="Максим">#REF!</definedName>
    <definedName name="_xlnm.Print_Area" localSheetId="4">'08_2021'!$A$1:$Q$118</definedName>
    <definedName name="_xlnm.Print_Area" localSheetId="0">'до 15 кВт_2021 '!$A$1:$N$43</definedName>
    <definedName name="_xlnm.Print_Area" localSheetId="1">'до 150 кВт_2021'!$A$1:$Q$61</definedName>
    <definedName name="Перечень_РЭС">[4]Списки!$D$4:$D$283</definedName>
    <definedName name="Проц1">[1]MAIN!$F$186</definedName>
    <definedName name="ПроцИзПр1">[1]MAIN!$F$188</definedName>
    <definedName name="РЭС" localSheetId="3">[5]Лист3!$A$1:$A$16</definedName>
    <definedName name="РЭС">[6]Лист3!$A$1:$A$16</definedName>
    <definedName name="СтНПр1">[1]MAIN!$F$180</definedName>
    <definedName name="Тамбовский" localSheetId="0">#REF!</definedName>
    <definedName name="Тамбовский" localSheetId="1">#REF!</definedName>
    <definedName name="Тамбовский" localSheetId="3">#REF!</definedName>
    <definedName name="Тамбовский">#REF!</definedName>
    <definedName name="ЧП1">[1]MAIN!$F$396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25" i="4" l="1"/>
  <c r="Q24" i="4"/>
  <c r="Q23" i="4"/>
  <c r="S50" i="2"/>
  <c r="S23" i="2"/>
  <c r="S22" i="2"/>
  <c r="S20" i="2"/>
  <c r="S19" i="2"/>
  <c r="S18" i="2"/>
  <c r="S15" i="2"/>
  <c r="S14" i="2"/>
  <c r="S13" i="2"/>
  <c r="Q20" i="4"/>
  <c r="Q19" i="4"/>
  <c r="M130" i="6"/>
  <c r="Q127" i="6"/>
  <c r="Q126" i="6"/>
  <c r="Q124" i="6"/>
  <c r="Q123" i="6"/>
  <c r="Q122" i="6"/>
  <c r="M129" i="6"/>
  <c r="M128" i="6"/>
  <c r="M127" i="6"/>
  <c r="M126" i="6"/>
  <c r="M125" i="6"/>
  <c r="M124" i="6"/>
  <c r="M123" i="6"/>
  <c r="M122" i="6"/>
  <c r="J122" i="6"/>
  <c r="L40" i="5"/>
  <c r="O40" i="5"/>
  <c r="M40" i="5"/>
  <c r="Q13" i="4" l="1"/>
  <c r="Q35" i="5" l="1"/>
  <c r="Q34" i="5"/>
  <c r="Q33" i="5"/>
  <c r="Q32" i="5"/>
  <c r="Q31" i="5"/>
  <c r="Q30" i="5"/>
  <c r="Q29" i="5"/>
  <c r="O34" i="5"/>
  <c r="N33" i="5"/>
  <c r="O33" i="5" s="1"/>
  <c r="N32" i="5"/>
  <c r="O32" i="5" s="1"/>
  <c r="O31" i="5"/>
  <c r="N30" i="5"/>
  <c r="O30" i="5" s="1"/>
  <c r="N29" i="5"/>
  <c r="O29" i="5" s="1"/>
  <c r="J125" i="6" l="1"/>
  <c r="F18" i="2" s="1"/>
  <c r="I125" i="6"/>
  <c r="J123" i="6"/>
  <c r="O127" i="6"/>
  <c r="G37" i="4"/>
  <c r="G36" i="4" s="1"/>
  <c r="R320" i="9" l="1"/>
  <c r="R237" i="9"/>
  <c r="R229" i="9"/>
  <c r="R228" i="9"/>
  <c r="R132" i="9"/>
  <c r="R129" i="9"/>
  <c r="R127" i="9"/>
  <c r="R118" i="9"/>
  <c r="R107" i="9"/>
  <c r="R99" i="9"/>
  <c r="R84" i="9"/>
  <c r="R7" i="9"/>
  <c r="R5" i="9"/>
  <c r="E55" i="2" l="1"/>
  <c r="J55" i="2"/>
  <c r="H55" i="2"/>
  <c r="H7" i="9"/>
  <c r="H11" i="9"/>
  <c r="O11" i="9" s="1"/>
  <c r="H84" i="9"/>
  <c r="H86" i="9"/>
  <c r="O86" i="9" s="1"/>
  <c r="H101" i="9"/>
  <c r="O101" i="9" s="1"/>
  <c r="H102" i="9"/>
  <c r="O102" i="9" s="1"/>
  <c r="H106" i="9"/>
  <c r="O106" i="9" s="1"/>
  <c r="H107" i="9"/>
  <c r="H116" i="9"/>
  <c r="O116" i="9" s="1"/>
  <c r="H118" i="9"/>
  <c r="H121" i="9"/>
  <c r="O121" i="9" s="1"/>
  <c r="K321" i="9"/>
  <c r="J321" i="9"/>
  <c r="K320" i="9"/>
  <c r="J320" i="9"/>
  <c r="K319" i="9"/>
  <c r="J319" i="9"/>
  <c r="K318" i="9"/>
  <c r="J318" i="9"/>
  <c r="K317" i="9"/>
  <c r="J317" i="9"/>
  <c r="K316" i="9"/>
  <c r="J316" i="9"/>
  <c r="K315" i="9"/>
  <c r="J315" i="9"/>
  <c r="H315" i="9" s="1"/>
  <c r="K314" i="9"/>
  <c r="J314" i="9"/>
  <c r="K313" i="9"/>
  <c r="J313" i="9"/>
  <c r="K312" i="9"/>
  <c r="J312" i="9"/>
  <c r="K311" i="9"/>
  <c r="J311" i="9"/>
  <c r="H311" i="9"/>
  <c r="K310" i="9"/>
  <c r="H310" i="9" s="1"/>
  <c r="O310" i="9" s="1"/>
  <c r="J310" i="9"/>
  <c r="K309" i="9"/>
  <c r="J309" i="9"/>
  <c r="K308" i="9"/>
  <c r="J308" i="9"/>
  <c r="H308" i="9"/>
  <c r="O308" i="9" s="1"/>
  <c r="K307" i="9"/>
  <c r="J307" i="9"/>
  <c r="K306" i="9"/>
  <c r="J306" i="9"/>
  <c r="K305" i="9"/>
  <c r="J305" i="9"/>
  <c r="K304" i="9"/>
  <c r="J304" i="9"/>
  <c r="H304" i="9" s="1"/>
  <c r="O304" i="9" s="1"/>
  <c r="K303" i="9"/>
  <c r="J303" i="9"/>
  <c r="K302" i="9"/>
  <c r="J302" i="9"/>
  <c r="H302" i="9" s="1"/>
  <c r="O302" i="9" s="1"/>
  <c r="K301" i="9"/>
  <c r="J301" i="9"/>
  <c r="H300" i="9"/>
  <c r="O300" i="9" s="1"/>
  <c r="K299" i="9"/>
  <c r="J299" i="9"/>
  <c r="K298" i="9"/>
  <c r="J298" i="9"/>
  <c r="K297" i="9"/>
  <c r="J297" i="9"/>
  <c r="K296" i="9"/>
  <c r="J296" i="9"/>
  <c r="K295" i="9"/>
  <c r="J295" i="9"/>
  <c r="H295" i="9" s="1"/>
  <c r="K294" i="9"/>
  <c r="J294" i="9"/>
  <c r="H294" i="9" s="1"/>
  <c r="O294" i="9" s="1"/>
  <c r="K293" i="9"/>
  <c r="J293" i="9"/>
  <c r="K292" i="9"/>
  <c r="J292" i="9"/>
  <c r="K291" i="9"/>
  <c r="J291" i="9"/>
  <c r="K290" i="9"/>
  <c r="J290" i="9"/>
  <c r="K289" i="9"/>
  <c r="J289" i="9"/>
  <c r="K288" i="9"/>
  <c r="J288" i="9"/>
  <c r="K287" i="9"/>
  <c r="J287" i="9"/>
  <c r="K286" i="9"/>
  <c r="J286" i="9"/>
  <c r="H286" i="9"/>
  <c r="O286" i="9" s="1"/>
  <c r="K285" i="9"/>
  <c r="J285" i="9"/>
  <c r="K284" i="9"/>
  <c r="J284" i="9"/>
  <c r="H284" i="9" s="1"/>
  <c r="K283" i="9"/>
  <c r="J283" i="9"/>
  <c r="K282" i="9"/>
  <c r="J282" i="9"/>
  <c r="K281" i="9"/>
  <c r="J281" i="9"/>
  <c r="K280" i="9"/>
  <c r="J280" i="9"/>
  <c r="H280" i="9" s="1"/>
  <c r="O280" i="9" s="1"/>
  <c r="K279" i="9"/>
  <c r="J279" i="9"/>
  <c r="H279" i="9" s="1"/>
  <c r="O279" i="9" s="1"/>
  <c r="K278" i="9"/>
  <c r="J278" i="9"/>
  <c r="H278" i="9" s="1"/>
  <c r="O278" i="9" s="1"/>
  <c r="K277" i="9"/>
  <c r="J277" i="9"/>
  <c r="K276" i="9"/>
  <c r="J276" i="9"/>
  <c r="H276" i="9" s="1"/>
  <c r="O276" i="9" s="1"/>
  <c r="K275" i="9"/>
  <c r="J275" i="9"/>
  <c r="K274" i="9"/>
  <c r="J274" i="9"/>
  <c r="K273" i="9"/>
  <c r="J273" i="9"/>
  <c r="K272" i="9"/>
  <c r="J272" i="9"/>
  <c r="H272" i="9" s="1"/>
  <c r="O272" i="9" s="1"/>
  <c r="K271" i="9"/>
  <c r="J271" i="9"/>
  <c r="K270" i="9"/>
  <c r="J270" i="9"/>
  <c r="K269" i="9"/>
  <c r="J269" i="9"/>
  <c r="K268" i="9"/>
  <c r="J268" i="9"/>
  <c r="K267" i="9"/>
  <c r="J267" i="9"/>
  <c r="K266" i="9"/>
  <c r="J266" i="9"/>
  <c r="H266" i="9" s="1"/>
  <c r="O266" i="9" s="1"/>
  <c r="K265" i="9"/>
  <c r="J265" i="9"/>
  <c r="K264" i="9"/>
  <c r="J264" i="9"/>
  <c r="K263" i="9"/>
  <c r="J263" i="9"/>
  <c r="K262" i="9"/>
  <c r="J262" i="9"/>
  <c r="K261" i="9"/>
  <c r="J261" i="9"/>
  <c r="K260" i="9"/>
  <c r="J260" i="9"/>
  <c r="K259" i="9"/>
  <c r="J259" i="9"/>
  <c r="K258" i="9"/>
  <c r="J258" i="9"/>
  <c r="K257" i="9"/>
  <c r="J257" i="9"/>
  <c r="H257" i="9"/>
  <c r="O257" i="9" s="1"/>
  <c r="K256" i="9"/>
  <c r="H256" i="9" s="1"/>
  <c r="J256" i="9"/>
  <c r="K255" i="9"/>
  <c r="J255" i="9"/>
  <c r="H255" i="9" s="1"/>
  <c r="O255" i="9" s="1"/>
  <c r="K254" i="9"/>
  <c r="J254" i="9"/>
  <c r="K253" i="9"/>
  <c r="J253" i="9"/>
  <c r="H253" i="9" s="1"/>
  <c r="O253" i="9" s="1"/>
  <c r="K252" i="9"/>
  <c r="J252" i="9"/>
  <c r="K251" i="9"/>
  <c r="J251" i="9"/>
  <c r="K250" i="9"/>
  <c r="J250" i="9"/>
  <c r="K249" i="9"/>
  <c r="J249" i="9"/>
  <c r="H249" i="9" s="1"/>
  <c r="O249" i="9" s="1"/>
  <c r="K248" i="9"/>
  <c r="J248" i="9"/>
  <c r="K247" i="9"/>
  <c r="J247" i="9"/>
  <c r="H247" i="9" s="1"/>
  <c r="O247" i="9" s="1"/>
  <c r="K246" i="9"/>
  <c r="J246" i="9"/>
  <c r="I246" i="9"/>
  <c r="K245" i="9"/>
  <c r="J245" i="9"/>
  <c r="K244" i="9"/>
  <c r="J244" i="9"/>
  <c r="H244" i="9"/>
  <c r="O244" i="9" s="1"/>
  <c r="K243" i="9"/>
  <c r="J243" i="9"/>
  <c r="K242" i="9"/>
  <c r="J242" i="9"/>
  <c r="H242" i="9" s="1"/>
  <c r="O242" i="9" s="1"/>
  <c r="K241" i="9"/>
  <c r="J241" i="9"/>
  <c r="H241" i="9"/>
  <c r="O241" i="9" s="1"/>
  <c r="K240" i="9"/>
  <c r="J240" i="9"/>
  <c r="K239" i="9"/>
  <c r="J239" i="9"/>
  <c r="K238" i="9"/>
  <c r="J238" i="9"/>
  <c r="K237" i="9"/>
  <c r="J237" i="9"/>
  <c r="K236" i="9"/>
  <c r="J236" i="9"/>
  <c r="K235" i="9"/>
  <c r="J235" i="9"/>
  <c r="K234" i="9"/>
  <c r="J234" i="9"/>
  <c r="K233" i="9"/>
  <c r="J233" i="9"/>
  <c r="K232" i="9"/>
  <c r="J232" i="9"/>
  <c r="K231" i="9"/>
  <c r="J231" i="9"/>
  <c r="K230" i="9"/>
  <c r="H230" i="9" s="1"/>
  <c r="O230" i="9" s="1"/>
  <c r="J230" i="9"/>
  <c r="K229" i="9"/>
  <c r="J229" i="9"/>
  <c r="H229" i="9" s="1"/>
  <c r="K228" i="9"/>
  <c r="J228" i="9"/>
  <c r="K227" i="9"/>
  <c r="J227" i="9"/>
  <c r="H227" i="9" s="1"/>
  <c r="O227" i="9" s="1"/>
  <c r="K226" i="9"/>
  <c r="J226" i="9"/>
  <c r="H226" i="9" s="1"/>
  <c r="O226" i="9" s="1"/>
  <c r="K225" i="9"/>
  <c r="J225" i="9"/>
  <c r="K224" i="9"/>
  <c r="J224" i="9"/>
  <c r="K223" i="9"/>
  <c r="J223" i="9"/>
  <c r="H223" i="9" s="1"/>
  <c r="O223" i="9" s="1"/>
  <c r="K222" i="9"/>
  <c r="J222" i="9"/>
  <c r="K221" i="9"/>
  <c r="J221" i="9"/>
  <c r="K220" i="9"/>
  <c r="J220" i="9"/>
  <c r="K219" i="9"/>
  <c r="J219" i="9"/>
  <c r="K218" i="9"/>
  <c r="J218" i="9"/>
  <c r="K217" i="9"/>
  <c r="J217" i="9"/>
  <c r="K216" i="9"/>
  <c r="J216" i="9"/>
  <c r="K215" i="9"/>
  <c r="J215" i="9"/>
  <c r="H215" i="9"/>
  <c r="O215" i="9" s="1"/>
  <c r="K214" i="9"/>
  <c r="J214" i="9"/>
  <c r="K213" i="9"/>
  <c r="J213" i="9"/>
  <c r="H213" i="9" s="1"/>
  <c r="O213" i="9" s="1"/>
  <c r="K212" i="9"/>
  <c r="J212" i="9"/>
  <c r="K211" i="9"/>
  <c r="J211" i="9"/>
  <c r="K210" i="9"/>
  <c r="J210" i="9"/>
  <c r="K209" i="9"/>
  <c r="J209" i="9"/>
  <c r="K208" i="9"/>
  <c r="J208" i="9"/>
  <c r="K207" i="9"/>
  <c r="J207" i="9"/>
  <c r="H207" i="9" s="1"/>
  <c r="O207" i="9" s="1"/>
  <c r="K206" i="9"/>
  <c r="J206" i="9"/>
  <c r="K205" i="9"/>
  <c r="J205" i="9"/>
  <c r="K204" i="9"/>
  <c r="H204" i="9" s="1"/>
  <c r="O204" i="9" s="1"/>
  <c r="J204" i="9"/>
  <c r="K203" i="9"/>
  <c r="J203" i="9"/>
  <c r="K202" i="9"/>
  <c r="J202" i="9"/>
  <c r="K201" i="9"/>
  <c r="H201" i="9" s="1"/>
  <c r="O201" i="9" s="1"/>
  <c r="J201" i="9"/>
  <c r="K200" i="9"/>
  <c r="J200" i="9"/>
  <c r="H200" i="9" s="1"/>
  <c r="O200" i="9" s="1"/>
  <c r="K199" i="9"/>
  <c r="J199" i="9"/>
  <c r="H199" i="9" s="1"/>
  <c r="O199" i="9" s="1"/>
  <c r="K198" i="9"/>
  <c r="J198" i="9"/>
  <c r="K197" i="9"/>
  <c r="J197" i="9"/>
  <c r="K196" i="9"/>
  <c r="J196" i="9"/>
  <c r="K195" i="9"/>
  <c r="J195" i="9"/>
  <c r="K194" i="9"/>
  <c r="J194" i="9"/>
  <c r="K193" i="9"/>
  <c r="J193" i="9"/>
  <c r="K192" i="9"/>
  <c r="J192" i="9"/>
  <c r="K191" i="9"/>
  <c r="J191" i="9"/>
  <c r="K190" i="9"/>
  <c r="J190" i="9"/>
  <c r="K189" i="9"/>
  <c r="J189" i="9"/>
  <c r="K188" i="9"/>
  <c r="J188" i="9"/>
  <c r="H188" i="9" s="1"/>
  <c r="O188" i="9" s="1"/>
  <c r="K187" i="9"/>
  <c r="J187" i="9"/>
  <c r="K186" i="9"/>
  <c r="J186" i="9"/>
  <c r="K185" i="9"/>
  <c r="J185" i="9"/>
  <c r="K184" i="9"/>
  <c r="J184" i="9"/>
  <c r="K183" i="9"/>
  <c r="H183" i="9" s="1"/>
  <c r="O183" i="9" s="1"/>
  <c r="J183" i="9"/>
  <c r="K182" i="9"/>
  <c r="H182" i="9" s="1"/>
  <c r="O182" i="9" s="1"/>
  <c r="J182" i="9"/>
  <c r="K181" i="9"/>
  <c r="J181" i="9"/>
  <c r="K180" i="9"/>
  <c r="J180" i="9"/>
  <c r="K179" i="9"/>
  <c r="J179" i="9"/>
  <c r="H179" i="9" s="1"/>
  <c r="O179" i="9" s="1"/>
  <c r="K178" i="9"/>
  <c r="J178" i="9"/>
  <c r="K177" i="9"/>
  <c r="J177" i="9"/>
  <c r="K176" i="9"/>
  <c r="J176" i="9"/>
  <c r="K175" i="9"/>
  <c r="J175" i="9"/>
  <c r="K174" i="9"/>
  <c r="J174" i="9"/>
  <c r="K173" i="9"/>
  <c r="J173" i="9"/>
  <c r="K172" i="9"/>
  <c r="J172" i="9"/>
  <c r="H172" i="9" s="1"/>
  <c r="O172" i="9" s="1"/>
  <c r="K171" i="9"/>
  <c r="J171" i="9"/>
  <c r="K170" i="9"/>
  <c r="J170" i="9"/>
  <c r="K169" i="9"/>
  <c r="J169" i="9"/>
  <c r="K168" i="9"/>
  <c r="J168" i="9"/>
  <c r="H168" i="9" s="1"/>
  <c r="O168" i="9" s="1"/>
  <c r="K167" i="9"/>
  <c r="J167" i="9"/>
  <c r="K166" i="9"/>
  <c r="J166" i="9"/>
  <c r="K165" i="9"/>
  <c r="J165" i="9"/>
  <c r="K164" i="9"/>
  <c r="J164" i="9"/>
  <c r="H164" i="9" s="1"/>
  <c r="O164" i="9" s="1"/>
  <c r="K163" i="9"/>
  <c r="J163" i="9"/>
  <c r="K162" i="9"/>
  <c r="J162" i="9"/>
  <c r="K161" i="9"/>
  <c r="J161" i="9"/>
  <c r="K160" i="9"/>
  <c r="J160" i="9"/>
  <c r="K159" i="9"/>
  <c r="J159" i="9"/>
  <c r="K158" i="9"/>
  <c r="J158" i="9"/>
  <c r="H158" i="9" s="1"/>
  <c r="O158" i="9" s="1"/>
  <c r="K157" i="9"/>
  <c r="J157" i="9"/>
  <c r="K156" i="9"/>
  <c r="J156" i="9"/>
  <c r="H156" i="9" s="1"/>
  <c r="K155" i="9"/>
  <c r="J155" i="9"/>
  <c r="K154" i="9"/>
  <c r="J154" i="9"/>
  <c r="K153" i="9"/>
  <c r="J153" i="9"/>
  <c r="K152" i="9"/>
  <c r="J152" i="9"/>
  <c r="K151" i="9"/>
  <c r="J151" i="9"/>
  <c r="K150" i="9"/>
  <c r="J150" i="9"/>
  <c r="K149" i="9"/>
  <c r="J149" i="9"/>
  <c r="K148" i="9"/>
  <c r="J148" i="9"/>
  <c r="K147" i="9"/>
  <c r="J147" i="9"/>
  <c r="H147" i="9" s="1"/>
  <c r="O147" i="9" s="1"/>
  <c r="K146" i="9"/>
  <c r="J146" i="9"/>
  <c r="K145" i="9"/>
  <c r="J145" i="9"/>
  <c r="K144" i="9"/>
  <c r="J144" i="9"/>
  <c r="K143" i="9"/>
  <c r="H143" i="9" s="1"/>
  <c r="O143" i="9" s="1"/>
  <c r="J143" i="9"/>
  <c r="K142" i="9"/>
  <c r="H142" i="9" s="1"/>
  <c r="J142" i="9"/>
  <c r="K141" i="9"/>
  <c r="J141" i="9"/>
  <c r="K140" i="9"/>
  <c r="H140" i="9" s="1"/>
  <c r="O140" i="9" s="1"/>
  <c r="J140" i="9"/>
  <c r="K139" i="9"/>
  <c r="J139" i="9"/>
  <c r="K138" i="9"/>
  <c r="J138" i="9"/>
  <c r="K137" i="9"/>
  <c r="J137" i="9"/>
  <c r="K136" i="9"/>
  <c r="J136" i="9"/>
  <c r="H136" i="9" s="1"/>
  <c r="O136" i="9" s="1"/>
  <c r="K135" i="9"/>
  <c r="J135" i="9"/>
  <c r="K134" i="9"/>
  <c r="J134" i="9"/>
  <c r="K133" i="9"/>
  <c r="J133" i="9"/>
  <c r="K132" i="9"/>
  <c r="J132" i="9"/>
  <c r="K131" i="9"/>
  <c r="H131" i="9" s="1"/>
  <c r="O131" i="9" s="1"/>
  <c r="J131" i="9"/>
  <c r="K130" i="9"/>
  <c r="J130" i="9"/>
  <c r="H130" i="9" s="1"/>
  <c r="O130" i="9" s="1"/>
  <c r="K129" i="9"/>
  <c r="J129" i="9"/>
  <c r="K128" i="9"/>
  <c r="J128" i="9"/>
  <c r="H128" i="9" s="1"/>
  <c r="O128" i="9" s="1"/>
  <c r="K127" i="9"/>
  <c r="J127" i="9"/>
  <c r="K126" i="9"/>
  <c r="J126" i="9"/>
  <c r="J125" i="9"/>
  <c r="H125" i="9" s="1"/>
  <c r="O125" i="9" s="1"/>
  <c r="J124" i="9"/>
  <c r="H124" i="9" s="1"/>
  <c r="O124" i="9" s="1"/>
  <c r="J123" i="9"/>
  <c r="H123" i="9"/>
  <c r="O123" i="9" s="1"/>
  <c r="J122" i="9"/>
  <c r="H122" i="9" s="1"/>
  <c r="O122" i="9" s="1"/>
  <c r="K120" i="9"/>
  <c r="J120" i="9"/>
  <c r="H119" i="9"/>
  <c r="O119" i="9" s="1"/>
  <c r="H117" i="9"/>
  <c r="O117" i="9" s="1"/>
  <c r="K115" i="9"/>
  <c r="J115" i="9"/>
  <c r="H114" i="9"/>
  <c r="O114" i="9" s="1"/>
  <c r="H113" i="9"/>
  <c r="O113" i="9" s="1"/>
  <c r="H112" i="9"/>
  <c r="H111" i="9"/>
  <c r="O111" i="9" s="1"/>
  <c r="H110" i="9"/>
  <c r="O110" i="9" s="1"/>
  <c r="K109" i="9"/>
  <c r="J109" i="9"/>
  <c r="K108" i="9"/>
  <c r="J108" i="9"/>
  <c r="H108" i="9" s="1"/>
  <c r="O108" i="9" s="1"/>
  <c r="K105" i="9"/>
  <c r="J105" i="9"/>
  <c r="H104" i="9"/>
  <c r="O104" i="9" s="1"/>
  <c r="H103" i="9"/>
  <c r="O103" i="9" s="1"/>
  <c r="K100" i="9"/>
  <c r="J100" i="9"/>
  <c r="L99" i="9"/>
  <c r="K99" i="9"/>
  <c r="J99" i="9"/>
  <c r="I99" i="9"/>
  <c r="H98" i="9"/>
  <c r="H97" i="9"/>
  <c r="O97" i="9" s="1"/>
  <c r="H96" i="9"/>
  <c r="O96" i="9" s="1"/>
  <c r="H95" i="9"/>
  <c r="H94" i="9"/>
  <c r="H93" i="9"/>
  <c r="O93" i="9" s="1"/>
  <c r="H92" i="9"/>
  <c r="O92" i="9" s="1"/>
  <c r="H91" i="9"/>
  <c r="H90" i="9"/>
  <c r="K89" i="9"/>
  <c r="J89" i="9"/>
  <c r="K88" i="9"/>
  <c r="J88" i="9"/>
  <c r="K87" i="9"/>
  <c r="J87" i="9"/>
  <c r="K85" i="9"/>
  <c r="J85" i="9"/>
  <c r="H85" i="9" s="1"/>
  <c r="O85" i="9" s="1"/>
  <c r="H83" i="9"/>
  <c r="O83" i="9" s="1"/>
  <c r="H82" i="9"/>
  <c r="O82" i="9" s="1"/>
  <c r="H81" i="9"/>
  <c r="H80" i="9"/>
  <c r="O80" i="9" s="1"/>
  <c r="H79" i="9"/>
  <c r="O79" i="9" s="1"/>
  <c r="H78" i="9"/>
  <c r="O78" i="9" s="1"/>
  <c r="H77" i="9"/>
  <c r="H76" i="9"/>
  <c r="O76" i="9" s="1"/>
  <c r="H75" i="9"/>
  <c r="O75" i="9" s="1"/>
  <c r="H74" i="9"/>
  <c r="O74" i="9" s="1"/>
  <c r="H73" i="9"/>
  <c r="H72" i="9"/>
  <c r="O72" i="9" s="1"/>
  <c r="H71" i="9"/>
  <c r="O71" i="9" s="1"/>
  <c r="H70" i="9"/>
  <c r="O70" i="9" s="1"/>
  <c r="H69" i="9"/>
  <c r="H68" i="9"/>
  <c r="O68" i="9" s="1"/>
  <c r="H67" i="9"/>
  <c r="O67" i="9" s="1"/>
  <c r="H66" i="9"/>
  <c r="O66" i="9" s="1"/>
  <c r="H65" i="9"/>
  <c r="H64" i="9"/>
  <c r="O64" i="9" s="1"/>
  <c r="H63" i="9"/>
  <c r="O63" i="9" s="1"/>
  <c r="H62" i="9"/>
  <c r="O62" i="9" s="1"/>
  <c r="H61" i="9"/>
  <c r="H60" i="9"/>
  <c r="O60" i="9" s="1"/>
  <c r="H59" i="9"/>
  <c r="O59" i="9" s="1"/>
  <c r="H58" i="9"/>
  <c r="O58" i="9" s="1"/>
  <c r="H57" i="9"/>
  <c r="H56" i="9"/>
  <c r="O56" i="9" s="1"/>
  <c r="H55" i="9"/>
  <c r="O55" i="9" s="1"/>
  <c r="H54" i="9"/>
  <c r="O54" i="9" s="1"/>
  <c r="H53" i="9"/>
  <c r="H52" i="9"/>
  <c r="O52" i="9" s="1"/>
  <c r="H51" i="9"/>
  <c r="O51" i="9" s="1"/>
  <c r="H50" i="9"/>
  <c r="O50" i="9" s="1"/>
  <c r="H49" i="9"/>
  <c r="H48" i="9"/>
  <c r="O48" i="9" s="1"/>
  <c r="H47" i="9"/>
  <c r="O47" i="9" s="1"/>
  <c r="H46" i="9"/>
  <c r="O46" i="9" s="1"/>
  <c r="H45" i="9"/>
  <c r="H44" i="9"/>
  <c r="O44" i="9" s="1"/>
  <c r="K43" i="9"/>
  <c r="J43" i="9"/>
  <c r="H42" i="9"/>
  <c r="H41" i="9"/>
  <c r="H40" i="9"/>
  <c r="O40" i="9" s="1"/>
  <c r="H39" i="9"/>
  <c r="O39" i="9" s="1"/>
  <c r="H38" i="9"/>
  <c r="H37" i="9"/>
  <c r="H36" i="9"/>
  <c r="O36" i="9" s="1"/>
  <c r="H35" i="9"/>
  <c r="O35" i="9" s="1"/>
  <c r="H34" i="9"/>
  <c r="H33" i="9"/>
  <c r="H32" i="9"/>
  <c r="O32" i="9" s="1"/>
  <c r="H31" i="9"/>
  <c r="O31" i="9" s="1"/>
  <c r="H30" i="9"/>
  <c r="H29" i="9"/>
  <c r="H28" i="9"/>
  <c r="O28" i="9" s="1"/>
  <c r="H27" i="9"/>
  <c r="O27" i="9" s="1"/>
  <c r="H26" i="9"/>
  <c r="K25" i="9"/>
  <c r="J25" i="9"/>
  <c r="L24" i="9"/>
  <c r="K24" i="9"/>
  <c r="J24" i="9"/>
  <c r="I24" i="9"/>
  <c r="H23" i="9"/>
  <c r="O23" i="9" s="1"/>
  <c r="H22" i="9"/>
  <c r="H21" i="9"/>
  <c r="H20" i="9"/>
  <c r="O20" i="9" s="1"/>
  <c r="H19" i="9"/>
  <c r="O19" i="9" s="1"/>
  <c r="H18" i="9"/>
  <c r="H17" i="9"/>
  <c r="H16" i="9"/>
  <c r="O16" i="9" s="1"/>
  <c r="H15" i="9"/>
  <c r="O15" i="9" s="1"/>
  <c r="H14" i="9"/>
  <c r="H13" i="9"/>
  <c r="K12" i="9"/>
  <c r="J12" i="9"/>
  <c r="H10" i="9"/>
  <c r="O10" i="9" s="1"/>
  <c r="J9" i="9"/>
  <c r="H9" i="9" s="1"/>
  <c r="H8" i="9"/>
  <c r="K6" i="9"/>
  <c r="J6" i="9"/>
  <c r="H6" i="9"/>
  <c r="O6" i="9" s="1"/>
  <c r="K5" i="9"/>
  <c r="J5" i="9"/>
  <c r="H87" i="9" l="1"/>
  <c r="O87" i="9" s="1"/>
  <c r="H88" i="9"/>
  <c r="O88" i="9" s="1"/>
  <c r="H175" i="9"/>
  <c r="O175" i="9" s="1"/>
  <c r="H181" i="9"/>
  <c r="H285" i="9"/>
  <c r="H303" i="9"/>
  <c r="O303" i="9" s="1"/>
  <c r="H309" i="9"/>
  <c r="H115" i="9"/>
  <c r="O115" i="9" s="1"/>
  <c r="H214" i="9"/>
  <c r="H127" i="9"/>
  <c r="O127" i="9" s="1"/>
  <c r="H129" i="9"/>
  <c r="O129" i="9" s="1"/>
  <c r="H141" i="9"/>
  <c r="O141" i="9" s="1"/>
  <c r="H211" i="9"/>
  <c r="O211" i="9" s="1"/>
  <c r="H246" i="9"/>
  <c r="O246" i="9" s="1"/>
  <c r="H248" i="9"/>
  <c r="O248" i="9" s="1"/>
  <c r="H100" i="9"/>
  <c r="H160" i="9"/>
  <c r="O160" i="9" s="1"/>
  <c r="H282" i="9"/>
  <c r="O282" i="9" s="1"/>
  <c r="H105" i="9"/>
  <c r="O105" i="9" s="1"/>
  <c r="R147" i="9"/>
  <c r="H243" i="9"/>
  <c r="O243" i="9" s="1"/>
  <c r="H132" i="9"/>
  <c r="S132" i="9" s="1"/>
  <c r="H155" i="9"/>
  <c r="O155" i="9" s="1"/>
  <c r="H167" i="9"/>
  <c r="O167" i="9" s="1"/>
  <c r="H196" i="9"/>
  <c r="O196" i="9" s="1"/>
  <c r="H225" i="9"/>
  <c r="O225" i="9" s="1"/>
  <c r="H231" i="9"/>
  <c r="O231" i="9" s="1"/>
  <c r="H237" i="9"/>
  <c r="R200" i="9"/>
  <c r="R52" i="9"/>
  <c r="R76" i="9"/>
  <c r="O118" i="9"/>
  <c r="S118" i="9"/>
  <c r="O132" i="9"/>
  <c r="O229" i="9"/>
  <c r="S229" i="9"/>
  <c r="O237" i="9"/>
  <c r="S237" i="9"/>
  <c r="O7" i="9"/>
  <c r="S7" i="9"/>
  <c r="R27" i="9"/>
  <c r="R110" i="9"/>
  <c r="R204" i="9"/>
  <c r="R294" i="9"/>
  <c r="O107" i="9"/>
  <c r="S107" i="9"/>
  <c r="R44" i="9"/>
  <c r="R111" i="9"/>
  <c r="R183" i="9"/>
  <c r="R213" i="9"/>
  <c r="R255" i="9"/>
  <c r="O84" i="9"/>
  <c r="S84" i="9"/>
  <c r="R136" i="9"/>
  <c r="R188" i="9"/>
  <c r="R244" i="9"/>
  <c r="R15" i="9"/>
  <c r="R31" i="9"/>
  <c r="R92" i="9"/>
  <c r="R215" i="9"/>
  <c r="R247" i="9"/>
  <c r="R257" i="9"/>
  <c r="R308" i="9"/>
  <c r="R19" i="9"/>
  <c r="R35" i="9"/>
  <c r="R60" i="9"/>
  <c r="R96" i="9"/>
  <c r="R114" i="9"/>
  <c r="R140" i="9"/>
  <c r="R168" i="9"/>
  <c r="R196" i="9"/>
  <c r="R207" i="9"/>
  <c r="R242" i="9"/>
  <c r="R248" i="9"/>
  <c r="R266" i="9"/>
  <c r="R10" i="9"/>
  <c r="R124" i="9"/>
  <c r="R23" i="9"/>
  <c r="R39" i="9"/>
  <c r="R68" i="9"/>
  <c r="R103" i="9"/>
  <c r="R117" i="9"/>
  <c r="R143" i="9"/>
  <c r="R175" i="9"/>
  <c r="R199" i="9"/>
  <c r="R211" i="9"/>
  <c r="R243" i="9"/>
  <c r="R253" i="9"/>
  <c r="R282" i="9"/>
  <c r="O8" i="9"/>
  <c r="R8" i="9"/>
  <c r="R20" i="9"/>
  <c r="R28" i="9"/>
  <c r="R36" i="9"/>
  <c r="R97" i="9"/>
  <c r="O9" i="9"/>
  <c r="R9" i="9"/>
  <c r="O13" i="9"/>
  <c r="R13" i="9"/>
  <c r="O17" i="9"/>
  <c r="R17" i="9"/>
  <c r="O21" i="9"/>
  <c r="R21" i="9"/>
  <c r="O29" i="9"/>
  <c r="R29" i="9"/>
  <c r="O33" i="9"/>
  <c r="R33" i="9"/>
  <c r="O37" i="9"/>
  <c r="R37" i="9"/>
  <c r="O41" i="9"/>
  <c r="R41" i="9"/>
  <c r="O90" i="9"/>
  <c r="R90" i="9"/>
  <c r="O94" i="9"/>
  <c r="R94" i="9"/>
  <c r="O98" i="9"/>
  <c r="R98" i="9"/>
  <c r="O181" i="9"/>
  <c r="R181" i="9"/>
  <c r="O285" i="9"/>
  <c r="R285" i="9"/>
  <c r="O295" i="9"/>
  <c r="R295" i="9"/>
  <c r="O309" i="9"/>
  <c r="R309" i="9"/>
  <c r="O311" i="9"/>
  <c r="R311" i="9"/>
  <c r="R47" i="9"/>
  <c r="R55" i="9"/>
  <c r="R63" i="9"/>
  <c r="R71" i="9"/>
  <c r="R79" i="9"/>
  <c r="R179" i="9"/>
  <c r="O14" i="9"/>
  <c r="R14" i="9"/>
  <c r="O18" i="9"/>
  <c r="R18" i="9"/>
  <c r="O22" i="9"/>
  <c r="R22" i="9"/>
  <c r="O26" i="9"/>
  <c r="R26" i="9"/>
  <c r="O30" i="9"/>
  <c r="R30" i="9"/>
  <c r="O34" i="9"/>
  <c r="R34" i="9"/>
  <c r="O38" i="9"/>
  <c r="R38" i="9"/>
  <c r="O42" i="9"/>
  <c r="R42" i="9"/>
  <c r="O45" i="9"/>
  <c r="R45" i="9"/>
  <c r="O49" i="9"/>
  <c r="R49" i="9"/>
  <c r="O53" i="9"/>
  <c r="R53" i="9"/>
  <c r="O57" i="9"/>
  <c r="R57" i="9"/>
  <c r="O61" i="9"/>
  <c r="R61" i="9"/>
  <c r="O65" i="9"/>
  <c r="R65" i="9"/>
  <c r="O69" i="9"/>
  <c r="R69" i="9"/>
  <c r="O73" i="9"/>
  <c r="R73" i="9"/>
  <c r="O77" i="9"/>
  <c r="R77" i="9"/>
  <c r="O81" i="9"/>
  <c r="R81" i="9"/>
  <c r="O91" i="9"/>
  <c r="R91" i="9"/>
  <c r="O95" i="9"/>
  <c r="R95" i="9"/>
  <c r="O100" i="9"/>
  <c r="R100" i="9"/>
  <c r="O112" i="9"/>
  <c r="R112" i="9"/>
  <c r="O142" i="9"/>
  <c r="R142" i="9"/>
  <c r="O156" i="9"/>
  <c r="R156" i="9"/>
  <c r="O214" i="9"/>
  <c r="R214" i="9"/>
  <c r="O256" i="9"/>
  <c r="R256" i="9"/>
  <c r="O284" i="9"/>
  <c r="R284" i="9"/>
  <c r="O315" i="9"/>
  <c r="R315" i="9"/>
  <c r="R6" i="9"/>
  <c r="R16" i="9"/>
  <c r="R32" i="9"/>
  <c r="R40" i="9"/>
  <c r="R48" i="9"/>
  <c r="R56" i="9"/>
  <c r="R64" i="9"/>
  <c r="R72" i="9"/>
  <c r="R80" i="9"/>
  <c r="R93" i="9"/>
  <c r="R104" i="9"/>
  <c r="R164" i="9"/>
  <c r="R172" i="9"/>
  <c r="R286" i="9"/>
  <c r="R304" i="9"/>
  <c r="R51" i="9"/>
  <c r="R59" i="9"/>
  <c r="R67" i="9"/>
  <c r="R75" i="9"/>
  <c r="R83" i="9"/>
  <c r="R108" i="9"/>
  <c r="R119" i="9"/>
  <c r="R223" i="9"/>
  <c r="R241" i="9"/>
  <c r="R300" i="9"/>
  <c r="R310" i="9"/>
  <c r="R46" i="9"/>
  <c r="R50" i="9"/>
  <c r="R54" i="9"/>
  <c r="R58" i="9"/>
  <c r="R62" i="9"/>
  <c r="R66" i="9"/>
  <c r="R70" i="9"/>
  <c r="R74" i="9"/>
  <c r="R78" i="9"/>
  <c r="R82" i="9"/>
  <c r="R113" i="9"/>
  <c r="R123" i="9"/>
  <c r="R182" i="9"/>
  <c r="H166" i="9"/>
  <c r="H198" i="9"/>
  <c r="H274" i="9"/>
  <c r="O274" i="9" s="1"/>
  <c r="H120" i="9"/>
  <c r="O120" i="9" s="1"/>
  <c r="H151" i="9"/>
  <c r="O151" i="9" s="1"/>
  <c r="H159" i="9"/>
  <c r="H163" i="9"/>
  <c r="H165" i="9"/>
  <c r="H191" i="9"/>
  <c r="H195" i="9"/>
  <c r="H197" i="9"/>
  <c r="H250" i="9"/>
  <c r="O250" i="9" s="1"/>
  <c r="H269" i="9"/>
  <c r="H271" i="9"/>
  <c r="H273" i="9"/>
  <c r="O273" i="9" s="1"/>
  <c r="H277" i="9"/>
  <c r="O277" i="9" s="1"/>
  <c r="H298" i="9"/>
  <c r="H148" i="9"/>
  <c r="H152" i="9"/>
  <c r="H184" i="9"/>
  <c r="H216" i="9"/>
  <c r="H220" i="9"/>
  <c r="O220" i="9" s="1"/>
  <c r="H224" i="9"/>
  <c r="H228" i="9"/>
  <c r="H232" i="9"/>
  <c r="H234" i="9"/>
  <c r="O234" i="9" s="1"/>
  <c r="H236" i="9"/>
  <c r="O236" i="9" s="1"/>
  <c r="H258" i="9"/>
  <c r="H262" i="9"/>
  <c r="H287" i="9"/>
  <c r="H291" i="9"/>
  <c r="H316" i="9"/>
  <c r="H318" i="9"/>
  <c r="O318" i="9" s="1"/>
  <c r="H320" i="9"/>
  <c r="H99" i="9"/>
  <c r="H180" i="9"/>
  <c r="H212" i="9"/>
  <c r="H135" i="9"/>
  <c r="H265" i="9"/>
  <c r="H319" i="9"/>
  <c r="H150" i="9"/>
  <c r="H222" i="9"/>
  <c r="H264" i="9"/>
  <c r="H293" i="9"/>
  <c r="H43" i="9"/>
  <c r="H89" i="9"/>
  <c r="H133" i="9"/>
  <c r="H149" i="9"/>
  <c r="H171" i="9"/>
  <c r="H174" i="9"/>
  <c r="H176" i="9"/>
  <c r="H187" i="9"/>
  <c r="H190" i="9"/>
  <c r="H192" i="9"/>
  <c r="H203" i="9"/>
  <c r="H206" i="9"/>
  <c r="H208" i="9"/>
  <c r="H219" i="9"/>
  <c r="H221" i="9"/>
  <c r="H254" i="9"/>
  <c r="H261" i="9"/>
  <c r="H263" i="9"/>
  <c r="H270" i="9"/>
  <c r="H283" i="9"/>
  <c r="H290" i="9"/>
  <c r="H292" i="9"/>
  <c r="H299" i="9"/>
  <c r="H317" i="9"/>
  <c r="H126" i="9"/>
  <c r="H134" i="9"/>
  <c r="H24" i="9"/>
  <c r="H25" i="9"/>
  <c r="H139" i="9"/>
  <c r="H144" i="9"/>
  <c r="H157" i="9"/>
  <c r="H173" i="9"/>
  <c r="H189" i="9"/>
  <c r="H205" i="9"/>
  <c r="H235" i="9"/>
  <c r="H240" i="9"/>
  <c r="H245" i="9"/>
  <c r="H301" i="9"/>
  <c r="H307" i="9"/>
  <c r="H312" i="9"/>
  <c r="H138" i="9"/>
  <c r="H146" i="9"/>
  <c r="H154" i="9"/>
  <c r="H162" i="9"/>
  <c r="H170" i="9"/>
  <c r="H178" i="9"/>
  <c r="H186" i="9"/>
  <c r="H194" i="9"/>
  <c r="H202" i="9"/>
  <c r="H210" i="9"/>
  <c r="H218" i="9"/>
  <c r="H239" i="9"/>
  <c r="H306" i="9"/>
  <c r="H314" i="9"/>
  <c r="H12" i="9"/>
  <c r="H109" i="9"/>
  <c r="H137" i="9"/>
  <c r="H145" i="9"/>
  <c r="H153" i="9"/>
  <c r="H161" i="9"/>
  <c r="H169" i="9"/>
  <c r="H177" i="9"/>
  <c r="H185" i="9"/>
  <c r="H193" i="9"/>
  <c r="H209" i="9"/>
  <c r="H217" i="9"/>
  <c r="H233" i="9"/>
  <c r="H238" i="9"/>
  <c r="H252" i="9"/>
  <c r="H260" i="9"/>
  <c r="H268" i="9"/>
  <c r="H281" i="9"/>
  <c r="H289" i="9"/>
  <c r="H297" i="9"/>
  <c r="H305" i="9"/>
  <c r="H313" i="9"/>
  <c r="H321" i="9"/>
  <c r="H251" i="9"/>
  <c r="H259" i="9"/>
  <c r="H267" i="9"/>
  <c r="H275" i="9"/>
  <c r="H288" i="9"/>
  <c r="H296" i="9"/>
  <c r="S127" i="9" l="1"/>
  <c r="S129" i="9"/>
  <c r="R167" i="9"/>
  <c r="R141" i="9"/>
  <c r="O228" i="9"/>
  <c r="S228" i="9"/>
  <c r="O99" i="9"/>
  <c r="S99" i="9"/>
  <c r="O320" i="9"/>
  <c r="S320" i="9"/>
  <c r="O296" i="9"/>
  <c r="R296" i="9"/>
  <c r="O305" i="9"/>
  <c r="R305" i="9"/>
  <c r="O233" i="9"/>
  <c r="R233" i="9"/>
  <c r="O153" i="9"/>
  <c r="R153" i="9"/>
  <c r="O218" i="9"/>
  <c r="R218" i="9"/>
  <c r="O186" i="9"/>
  <c r="R186" i="9"/>
  <c r="O307" i="9"/>
  <c r="R307" i="9"/>
  <c r="O157" i="9"/>
  <c r="R157" i="9"/>
  <c r="O299" i="9"/>
  <c r="R299" i="9"/>
  <c r="O221" i="9"/>
  <c r="R221" i="9"/>
  <c r="O176" i="9"/>
  <c r="R176" i="9"/>
  <c r="O264" i="9"/>
  <c r="R264" i="9"/>
  <c r="O265" i="9"/>
  <c r="R265" i="9"/>
  <c r="O251" i="9"/>
  <c r="R251" i="9"/>
  <c r="O260" i="9"/>
  <c r="R260" i="9"/>
  <c r="O177" i="9"/>
  <c r="R177" i="9"/>
  <c r="O314" i="9"/>
  <c r="R314" i="9"/>
  <c r="O210" i="9"/>
  <c r="R210" i="9"/>
  <c r="O146" i="9"/>
  <c r="R146" i="9"/>
  <c r="O205" i="9"/>
  <c r="R205" i="9"/>
  <c r="O134" i="9"/>
  <c r="R134" i="9"/>
  <c r="O292" i="9"/>
  <c r="R292" i="9"/>
  <c r="O219" i="9"/>
  <c r="R219" i="9"/>
  <c r="O174" i="9"/>
  <c r="R174" i="9"/>
  <c r="O222" i="9"/>
  <c r="R222" i="9"/>
  <c r="O271" i="9"/>
  <c r="R271" i="9"/>
  <c r="O267" i="9"/>
  <c r="R267" i="9"/>
  <c r="O313" i="9"/>
  <c r="R313" i="9"/>
  <c r="O281" i="9"/>
  <c r="R281" i="9"/>
  <c r="O238" i="9"/>
  <c r="R238" i="9"/>
  <c r="O193" i="9"/>
  <c r="R193" i="9"/>
  <c r="O161" i="9"/>
  <c r="R161" i="9"/>
  <c r="O109" i="9"/>
  <c r="R109" i="9"/>
  <c r="O239" i="9"/>
  <c r="R239" i="9"/>
  <c r="O194" i="9"/>
  <c r="R194" i="9"/>
  <c r="O162" i="9"/>
  <c r="R162" i="9"/>
  <c r="O312" i="9"/>
  <c r="R312" i="9"/>
  <c r="O240" i="9"/>
  <c r="R240" i="9"/>
  <c r="O173" i="9"/>
  <c r="R173" i="9"/>
  <c r="O25" i="9"/>
  <c r="R25" i="9"/>
  <c r="O317" i="9"/>
  <c r="R317" i="9"/>
  <c r="O283" i="9"/>
  <c r="R283" i="9"/>
  <c r="O254" i="9"/>
  <c r="R254" i="9"/>
  <c r="O206" i="9"/>
  <c r="R206" i="9"/>
  <c r="O187" i="9"/>
  <c r="R187" i="9"/>
  <c r="O149" i="9"/>
  <c r="R149" i="9"/>
  <c r="O293" i="9"/>
  <c r="R293" i="9"/>
  <c r="O319" i="9"/>
  <c r="R319" i="9"/>
  <c r="O180" i="9"/>
  <c r="R180" i="9"/>
  <c r="O316" i="9"/>
  <c r="R316" i="9"/>
  <c r="O258" i="9"/>
  <c r="R258" i="9"/>
  <c r="O184" i="9"/>
  <c r="R184" i="9"/>
  <c r="O165" i="9"/>
  <c r="R165" i="9"/>
  <c r="O259" i="9"/>
  <c r="R259" i="9"/>
  <c r="O268" i="9"/>
  <c r="R268" i="9"/>
  <c r="O185" i="9"/>
  <c r="R185" i="9"/>
  <c r="O12" i="9"/>
  <c r="R12" i="9"/>
  <c r="O154" i="9"/>
  <c r="R154" i="9"/>
  <c r="O235" i="9"/>
  <c r="R235" i="9"/>
  <c r="O24" i="9"/>
  <c r="R24" i="9"/>
  <c r="O270" i="9"/>
  <c r="R270" i="9"/>
  <c r="O203" i="9"/>
  <c r="R203" i="9"/>
  <c r="O133" i="9"/>
  <c r="R133" i="9"/>
  <c r="O291" i="9"/>
  <c r="R291" i="9"/>
  <c r="O224" i="9"/>
  <c r="R224" i="9"/>
  <c r="O152" i="9"/>
  <c r="R152" i="9"/>
  <c r="O197" i="9"/>
  <c r="R197" i="9"/>
  <c r="O163" i="9"/>
  <c r="R163" i="9"/>
  <c r="O288" i="9"/>
  <c r="R288" i="9"/>
  <c r="O297" i="9"/>
  <c r="R297" i="9"/>
  <c r="O217" i="9"/>
  <c r="R217" i="9"/>
  <c r="O145" i="9"/>
  <c r="R145" i="9"/>
  <c r="O178" i="9"/>
  <c r="R178" i="9"/>
  <c r="O301" i="9"/>
  <c r="R301" i="9"/>
  <c r="O144" i="9"/>
  <c r="R144" i="9"/>
  <c r="O263" i="9"/>
  <c r="R263" i="9"/>
  <c r="O192" i="9"/>
  <c r="R192" i="9"/>
  <c r="O89" i="9"/>
  <c r="R89" i="9"/>
  <c r="O135" i="9"/>
  <c r="R135" i="9"/>
  <c r="O287" i="9"/>
  <c r="R287" i="9"/>
  <c r="O148" i="9"/>
  <c r="R148" i="9"/>
  <c r="O195" i="9"/>
  <c r="R195" i="9"/>
  <c r="O159" i="9"/>
  <c r="R159" i="9"/>
  <c r="O198" i="9"/>
  <c r="R198" i="9"/>
  <c r="O275" i="9"/>
  <c r="R275" i="9"/>
  <c r="O321" i="9"/>
  <c r="R321" i="9"/>
  <c r="O289" i="9"/>
  <c r="R289" i="9"/>
  <c r="O252" i="9"/>
  <c r="R252" i="9"/>
  <c r="O209" i="9"/>
  <c r="R209" i="9"/>
  <c r="O169" i="9"/>
  <c r="R169" i="9"/>
  <c r="O137" i="9"/>
  <c r="R137" i="9"/>
  <c r="O306" i="9"/>
  <c r="R306" i="9"/>
  <c r="O202" i="9"/>
  <c r="R202" i="9"/>
  <c r="O170" i="9"/>
  <c r="R170" i="9"/>
  <c r="O138" i="9"/>
  <c r="R138" i="9"/>
  <c r="O245" i="9"/>
  <c r="R245" i="9"/>
  <c r="O189" i="9"/>
  <c r="R189" i="9"/>
  <c r="O139" i="9"/>
  <c r="R139" i="9"/>
  <c r="O126" i="9"/>
  <c r="R126" i="9"/>
  <c r="O290" i="9"/>
  <c r="R290" i="9"/>
  <c r="O261" i="9"/>
  <c r="R261" i="9"/>
  <c r="O208" i="9"/>
  <c r="R208" i="9"/>
  <c r="O190" i="9"/>
  <c r="R190" i="9"/>
  <c r="O171" i="9"/>
  <c r="R171" i="9"/>
  <c r="O43" i="9"/>
  <c r="R43" i="9"/>
  <c r="O150" i="9"/>
  <c r="R150" i="9"/>
  <c r="O212" i="9"/>
  <c r="R212" i="9"/>
  <c r="O262" i="9"/>
  <c r="R262" i="9"/>
  <c r="O232" i="9"/>
  <c r="R232" i="9"/>
  <c r="O216" i="9"/>
  <c r="R216" i="9"/>
  <c r="O298" i="9"/>
  <c r="R298" i="9"/>
  <c r="O269" i="9"/>
  <c r="R269" i="9"/>
  <c r="O191" i="9"/>
  <c r="R191" i="9"/>
  <c r="O166" i="9"/>
  <c r="R166" i="9"/>
  <c r="L27" i="4" l="1"/>
  <c r="L26" i="4"/>
  <c r="L25" i="4"/>
  <c r="L24" i="4"/>
  <c r="L23" i="4"/>
  <c r="L20" i="4"/>
  <c r="L21" i="4"/>
  <c r="L14" i="4"/>
  <c r="L13" i="4"/>
  <c r="L19" i="4"/>
  <c r="C17" i="8"/>
  <c r="C16" i="8"/>
  <c r="C15" i="8"/>
  <c r="C14" i="8"/>
  <c r="C13" i="8"/>
  <c r="L29" i="2"/>
  <c r="L28" i="2"/>
  <c r="L27" i="2"/>
  <c r="L23" i="2"/>
  <c r="L21" i="2"/>
  <c r="L20" i="2"/>
  <c r="L15" i="2"/>
  <c r="L38" i="2" s="1"/>
  <c r="I22" i="2"/>
  <c r="L22" i="2" s="1"/>
  <c r="I19" i="2"/>
  <c r="L19" i="2" s="1"/>
  <c r="I20" i="2"/>
  <c r="I21" i="2"/>
  <c r="I18" i="2"/>
  <c r="L18" i="2" s="1"/>
  <c r="I16" i="2"/>
  <c r="L16" i="2" s="1"/>
  <c r="I14" i="2"/>
  <c r="L14" i="2" s="1"/>
  <c r="I13" i="2"/>
  <c r="L13" i="2" s="1"/>
  <c r="C38" i="2"/>
  <c r="D38" i="2"/>
  <c r="I38" i="2"/>
  <c r="C39" i="2"/>
  <c r="D39" i="2"/>
  <c r="E39" i="2"/>
  <c r="F39" i="2"/>
  <c r="G39" i="2"/>
  <c r="B39" i="2"/>
  <c r="B38" i="2"/>
  <c r="J124" i="6"/>
  <c r="F15" i="2" s="1"/>
  <c r="I39" i="2" l="1"/>
  <c r="C18" i="8"/>
  <c r="M15" i="2"/>
  <c r="M38" i="2" s="1"/>
  <c r="F38" i="2"/>
  <c r="J15" i="2"/>
  <c r="C52" i="2"/>
  <c r="C51" i="2"/>
  <c r="C50" i="2"/>
  <c r="C49" i="2"/>
  <c r="C48" i="2"/>
  <c r="C47" i="2"/>
  <c r="C46" i="2"/>
  <c r="C45" i="2"/>
  <c r="C44" i="2"/>
  <c r="C43" i="2"/>
  <c r="C42" i="2"/>
  <c r="C41" i="2"/>
  <c r="C37" i="2"/>
  <c r="C36" i="2"/>
  <c r="M13" i="4"/>
  <c r="N13" i="4" s="1"/>
  <c r="I18" i="4"/>
  <c r="I22" i="4"/>
  <c r="H21" i="4"/>
  <c r="J21" i="4"/>
  <c r="K21" i="4"/>
  <c r="N15" i="2" l="1"/>
  <c r="N38" i="2" s="1"/>
  <c r="K15" i="2"/>
  <c r="K38" i="2" s="1"/>
  <c r="J38" i="2"/>
  <c r="P14" i="4"/>
  <c r="R14" i="4" s="1"/>
  <c r="P13" i="4"/>
  <c r="R13" i="4" s="1"/>
  <c r="E14" i="4" l="1"/>
  <c r="E13" i="4"/>
  <c r="Q1" i="5" l="1"/>
  <c r="N40" i="5"/>
  <c r="F25" i="4"/>
  <c r="P124" i="6"/>
  <c r="G23" i="4" s="1"/>
  <c r="O124" i="6"/>
  <c r="F23" i="4" s="1"/>
  <c r="L129" i="6"/>
  <c r="K129" i="6"/>
  <c r="G23" i="2" s="1"/>
  <c r="J129" i="6"/>
  <c r="F23" i="2" s="1"/>
  <c r="J126" i="6"/>
  <c r="F19" i="2" s="1"/>
  <c r="L124" i="6"/>
  <c r="K124" i="6"/>
  <c r="G15" i="2" s="1"/>
  <c r="F14" i="2"/>
  <c r="F13" i="2"/>
  <c r="R87" i="6"/>
  <c r="R86" i="6"/>
  <c r="R92" i="6"/>
  <c r="S92" i="6" s="1"/>
  <c r="R91" i="6"/>
  <c r="S91" i="6" s="1"/>
  <c r="R90" i="6"/>
  <c r="S90" i="6" s="1"/>
  <c r="R89" i="6"/>
  <c r="S89" i="6" s="1"/>
  <c r="R88" i="6"/>
  <c r="S88" i="6" s="1"/>
  <c r="R84" i="6"/>
  <c r="R83" i="6"/>
  <c r="R80" i="6"/>
  <c r="R79" i="6"/>
  <c r="R78" i="6"/>
  <c r="S78" i="6" s="1"/>
  <c r="R77" i="6"/>
  <c r="S77" i="6" s="1"/>
  <c r="R70" i="6"/>
  <c r="S70" i="6" s="1"/>
  <c r="R69" i="6"/>
  <c r="S69" i="6" s="1"/>
  <c r="R68" i="6"/>
  <c r="S68" i="6" s="1"/>
  <c r="R67" i="6"/>
  <c r="S67" i="6" s="1"/>
  <c r="R53" i="6"/>
  <c r="S53" i="6" s="1"/>
  <c r="R64" i="6"/>
  <c r="S64" i="6" s="1"/>
  <c r="R63" i="6"/>
  <c r="S63" i="6" s="1"/>
  <c r="R58" i="6"/>
  <c r="R57" i="6"/>
  <c r="R56" i="6"/>
  <c r="R52" i="6"/>
  <c r="S52" i="6" s="1"/>
  <c r="R45" i="6"/>
  <c r="S45" i="6" s="1"/>
  <c r="R44" i="6"/>
  <c r="S44" i="6" s="1"/>
  <c r="R43" i="6"/>
  <c r="S43" i="6" s="1"/>
  <c r="R42" i="6"/>
  <c r="S42" i="6" s="1"/>
  <c r="R41" i="6"/>
  <c r="S41" i="6" s="1"/>
  <c r="R39" i="6"/>
  <c r="S39" i="6" s="1"/>
  <c r="R38" i="6"/>
  <c r="S38" i="6" s="1"/>
  <c r="R34" i="6"/>
  <c r="S34" i="6" s="1"/>
  <c r="R33" i="6"/>
  <c r="S33" i="6" s="1"/>
  <c r="R24" i="6"/>
  <c r="S24" i="6" s="1"/>
  <c r="R23" i="6"/>
  <c r="S23" i="6" s="1"/>
  <c r="R20" i="6"/>
  <c r="S20" i="6" s="1"/>
  <c r="R19" i="6"/>
  <c r="S19" i="6" s="1"/>
  <c r="R18" i="6"/>
  <c r="S18" i="6" s="1"/>
  <c r="R17" i="6"/>
  <c r="S17" i="6" s="1"/>
  <c r="R13" i="6"/>
  <c r="S13" i="6" s="1"/>
  <c r="R14" i="6"/>
  <c r="S14" i="6" s="1"/>
  <c r="R5" i="6"/>
  <c r="S5" i="6" s="1"/>
  <c r="R6" i="6"/>
  <c r="S6" i="6" s="1"/>
  <c r="P21" i="4" l="1"/>
  <c r="P27" i="4"/>
  <c r="J25" i="4"/>
  <c r="E23" i="4"/>
  <c r="H15" i="2"/>
  <c r="H38" i="2" s="1"/>
  <c r="G38" i="2"/>
  <c r="E15" i="2"/>
  <c r="E38" i="2" s="1"/>
  <c r="J23" i="4"/>
  <c r="L128" i="6"/>
  <c r="O126" i="6" l="1"/>
  <c r="F24" i="4" s="1"/>
  <c r="O11" i="6"/>
  <c r="O123" i="6" s="1"/>
  <c r="O10" i="6"/>
  <c r="O122" i="6" s="1"/>
  <c r="J128" i="6"/>
  <c r="F22" i="2" s="1"/>
  <c r="F22" i="4" l="1"/>
  <c r="F19" i="4"/>
  <c r="R10" i="6"/>
  <c r="S10" i="6" s="1"/>
  <c r="R11" i="6"/>
  <c r="S11" i="6" s="1"/>
  <c r="F20" i="4"/>
  <c r="L99" i="6"/>
  <c r="K99" i="6"/>
  <c r="J99" i="6"/>
  <c r="L85" i="6"/>
  <c r="K85" i="6"/>
  <c r="J85" i="6"/>
  <c r="L74" i="6"/>
  <c r="J74" i="6"/>
  <c r="L73" i="6"/>
  <c r="J73" i="6"/>
  <c r="L72" i="6"/>
  <c r="J72" i="6"/>
  <c r="K65" i="6"/>
  <c r="J65" i="6"/>
  <c r="L59" i="6"/>
  <c r="K59" i="6"/>
  <c r="J59" i="6"/>
  <c r="L58" i="6"/>
  <c r="K58" i="6"/>
  <c r="J58" i="6"/>
  <c r="K55" i="6"/>
  <c r="J55" i="6"/>
  <c r="L47" i="6"/>
  <c r="K47" i="6"/>
  <c r="J47" i="6"/>
  <c r="I47" i="6"/>
  <c r="L46" i="6"/>
  <c r="K46" i="6"/>
  <c r="J46" i="6"/>
  <c r="I46" i="6"/>
  <c r="L42" i="6"/>
  <c r="K42" i="6"/>
  <c r="J42" i="6"/>
  <c r="I42" i="6"/>
  <c r="M39" i="6"/>
  <c r="L39" i="6"/>
  <c r="K39" i="6"/>
  <c r="J39" i="6"/>
  <c r="M38" i="6"/>
  <c r="L38" i="6"/>
  <c r="K38" i="6"/>
  <c r="J38" i="6"/>
  <c r="L34" i="6"/>
  <c r="K34" i="6"/>
  <c r="J34" i="6"/>
  <c r="K24" i="6"/>
  <c r="J24" i="6"/>
  <c r="L92" i="6"/>
  <c r="K92" i="6"/>
  <c r="J92" i="6"/>
  <c r="L90" i="6"/>
  <c r="J90" i="6"/>
  <c r="L89" i="6"/>
  <c r="J89" i="6"/>
  <c r="O129" i="6" l="1"/>
  <c r="L41" i="5" s="1"/>
  <c r="K128" i="6"/>
  <c r="G22" i="2" s="1"/>
  <c r="P26" i="4" s="1"/>
  <c r="N55" i="6"/>
  <c r="K81" i="6"/>
  <c r="J81" i="6"/>
  <c r="L78" i="6"/>
  <c r="K78" i="6"/>
  <c r="J78" i="6"/>
  <c r="L70" i="6"/>
  <c r="K70" i="6"/>
  <c r="J70" i="6"/>
  <c r="I70" i="6"/>
  <c r="K68" i="6"/>
  <c r="J68" i="6"/>
  <c r="L53" i="6"/>
  <c r="J53" i="6"/>
  <c r="L18" i="6"/>
  <c r="K18" i="6"/>
  <c r="J18" i="6"/>
  <c r="L14" i="6" l="1"/>
  <c r="K14" i="6"/>
  <c r="J14" i="6"/>
  <c r="L11" i="6" l="1"/>
  <c r="K11" i="6"/>
  <c r="J11" i="6"/>
  <c r="L6" i="6"/>
  <c r="K6" i="6"/>
  <c r="J6" i="6"/>
  <c r="I6" i="6"/>
  <c r="K115" i="6" l="1"/>
  <c r="J115" i="6"/>
  <c r="H115" i="6" s="1"/>
  <c r="H114" i="6"/>
  <c r="N114" i="6" s="1"/>
  <c r="H113" i="6"/>
  <c r="N113" i="6" s="1"/>
  <c r="H112" i="6"/>
  <c r="N112" i="6" s="1"/>
  <c r="H111" i="6"/>
  <c r="N111" i="6" s="1"/>
  <c r="H110" i="6"/>
  <c r="N110" i="6" s="1"/>
  <c r="H109" i="6"/>
  <c r="N109" i="6" s="1"/>
  <c r="H108" i="6"/>
  <c r="N108" i="6" s="1"/>
  <c r="H107" i="6"/>
  <c r="N107" i="6" s="1"/>
  <c r="H106" i="6"/>
  <c r="N106" i="6" s="1"/>
  <c r="H105" i="6"/>
  <c r="N105" i="6" s="1"/>
  <c r="H104" i="6"/>
  <c r="N104" i="6" s="1"/>
  <c r="H103" i="6"/>
  <c r="N103" i="6" s="1"/>
  <c r="H102" i="6"/>
  <c r="N102" i="6" s="1"/>
  <c r="K101" i="6"/>
  <c r="J101" i="6"/>
  <c r="K100" i="6"/>
  <c r="J100" i="6"/>
  <c r="K98" i="6"/>
  <c r="J98" i="6"/>
  <c r="K97" i="6"/>
  <c r="J97" i="6"/>
  <c r="K96" i="6"/>
  <c r="J96" i="6"/>
  <c r="K95" i="6"/>
  <c r="J95" i="6"/>
  <c r="K94" i="6"/>
  <c r="J94" i="6"/>
  <c r="K93" i="6"/>
  <c r="J93" i="6"/>
  <c r="L91" i="6"/>
  <c r="K91" i="6"/>
  <c r="J91" i="6"/>
  <c r="L88" i="6"/>
  <c r="J88" i="6"/>
  <c r="K87" i="6"/>
  <c r="J87" i="6"/>
  <c r="L86" i="6"/>
  <c r="K86" i="6"/>
  <c r="J86" i="6"/>
  <c r="K84" i="6"/>
  <c r="J84" i="6"/>
  <c r="L83" i="6"/>
  <c r="K83" i="6"/>
  <c r="J83" i="6"/>
  <c r="K82" i="6"/>
  <c r="J82" i="6"/>
  <c r="H82" i="6" s="1"/>
  <c r="N82" i="6" s="1"/>
  <c r="K80" i="6"/>
  <c r="J80" i="6"/>
  <c r="K79" i="6"/>
  <c r="J79" i="6"/>
  <c r="L77" i="6"/>
  <c r="K77" i="6"/>
  <c r="J77" i="6"/>
  <c r="K76" i="6"/>
  <c r="J76" i="6"/>
  <c r="L75" i="6"/>
  <c r="K75" i="6"/>
  <c r="J75" i="6"/>
  <c r="L71" i="6"/>
  <c r="K71" i="6"/>
  <c r="J71" i="6"/>
  <c r="I71" i="6"/>
  <c r="L69" i="6"/>
  <c r="K69" i="6"/>
  <c r="J69" i="6"/>
  <c r="I69" i="6"/>
  <c r="K67" i="6"/>
  <c r="J67" i="6"/>
  <c r="L66" i="6"/>
  <c r="J66" i="6"/>
  <c r="L64" i="6"/>
  <c r="J64" i="6"/>
  <c r="K63" i="6"/>
  <c r="J63" i="6"/>
  <c r="K62" i="6"/>
  <c r="J62" i="6"/>
  <c r="K61" i="6"/>
  <c r="J61" i="6"/>
  <c r="K60" i="6"/>
  <c r="J60" i="6"/>
  <c r="J57" i="6"/>
  <c r="H57" i="6" s="1"/>
  <c r="N57" i="6" s="1"/>
  <c r="L56" i="6"/>
  <c r="K56" i="6"/>
  <c r="J56" i="6"/>
  <c r="L54" i="6"/>
  <c r="J54" i="6"/>
  <c r="L52" i="6"/>
  <c r="J52" i="6"/>
  <c r="K51" i="6"/>
  <c r="J51" i="6"/>
  <c r="H50" i="6"/>
  <c r="N50" i="6" s="1"/>
  <c r="K49" i="6"/>
  <c r="J49" i="6"/>
  <c r="K48" i="6"/>
  <c r="J48" i="6"/>
  <c r="J45" i="6"/>
  <c r="H45" i="6" s="1"/>
  <c r="N45" i="6" s="1"/>
  <c r="K44" i="6"/>
  <c r="J44" i="6"/>
  <c r="L43" i="6"/>
  <c r="K43" i="6"/>
  <c r="J43" i="6"/>
  <c r="I43" i="6"/>
  <c r="L41" i="6"/>
  <c r="K41" i="6"/>
  <c r="J41" i="6"/>
  <c r="I41" i="6"/>
  <c r="K40" i="6"/>
  <c r="J40" i="6"/>
  <c r="H40" i="6" s="1"/>
  <c r="N40" i="6" s="1"/>
  <c r="M37" i="6"/>
  <c r="K37" i="6"/>
  <c r="J37" i="6"/>
  <c r="M36" i="6"/>
  <c r="L36" i="6"/>
  <c r="K36" i="6"/>
  <c r="J36" i="6"/>
  <c r="K35" i="6"/>
  <c r="J35" i="6"/>
  <c r="L33" i="6"/>
  <c r="K33" i="6"/>
  <c r="J33" i="6"/>
  <c r="L32" i="6"/>
  <c r="K32" i="6"/>
  <c r="J32" i="6"/>
  <c r="H32" i="6" s="1"/>
  <c r="M31" i="6"/>
  <c r="K31" i="6"/>
  <c r="J31" i="6"/>
  <c r="L30" i="6"/>
  <c r="K30" i="6"/>
  <c r="J30" i="6"/>
  <c r="K29" i="6"/>
  <c r="J29" i="6"/>
  <c r="K28" i="6"/>
  <c r="J28" i="6"/>
  <c r="H27" i="6"/>
  <c r="N27" i="6" s="1"/>
  <c r="H26" i="6"/>
  <c r="N26" i="6" s="1"/>
  <c r="K25" i="6"/>
  <c r="J25" i="6"/>
  <c r="K23" i="6"/>
  <c r="J23" i="6"/>
  <c r="H22" i="6"/>
  <c r="N22" i="6" s="1"/>
  <c r="K21" i="6"/>
  <c r="J21" i="6"/>
  <c r="L17" i="6"/>
  <c r="K17" i="6"/>
  <c r="J17" i="6"/>
  <c r="K16" i="6"/>
  <c r="J16" i="6"/>
  <c r="O15" i="6"/>
  <c r="J127" i="6" s="1"/>
  <c r="L15" i="6"/>
  <c r="K15" i="6"/>
  <c r="J15" i="6"/>
  <c r="L13" i="6"/>
  <c r="K13" i="6"/>
  <c r="J13" i="6"/>
  <c r="K12" i="6"/>
  <c r="J12" i="6"/>
  <c r="L10" i="6"/>
  <c r="K10" i="6"/>
  <c r="J10" i="6"/>
  <c r="K9" i="6"/>
  <c r="J9" i="6"/>
  <c r="K8" i="6"/>
  <c r="J8" i="6"/>
  <c r="M7" i="6"/>
  <c r="L7" i="6"/>
  <c r="K7" i="6"/>
  <c r="J7" i="6"/>
  <c r="L5" i="6"/>
  <c r="K5" i="6"/>
  <c r="J5" i="6"/>
  <c r="I5" i="6"/>
  <c r="N32" i="6" l="1"/>
  <c r="P123" i="6"/>
  <c r="H37" i="6"/>
  <c r="N37" i="6" s="1"/>
  <c r="F20" i="2"/>
  <c r="H12" i="6"/>
  <c r="H16" i="6"/>
  <c r="N16" i="6" s="1"/>
  <c r="H80" i="6"/>
  <c r="N80" i="6" s="1"/>
  <c r="H9" i="6"/>
  <c r="N9" i="6" s="1"/>
  <c r="N12" i="6"/>
  <c r="N115" i="6"/>
  <c r="H29" i="6"/>
  <c r="H31" i="6"/>
  <c r="K123" i="6" s="1"/>
  <c r="H49" i="6"/>
  <c r="H51" i="6"/>
  <c r="N51" i="6" s="1"/>
  <c r="H54" i="6"/>
  <c r="N54" i="6" s="1"/>
  <c r="H61" i="6"/>
  <c r="N61" i="6" s="1"/>
  <c r="H84" i="6"/>
  <c r="N84" i="6" s="1"/>
  <c r="H15" i="6"/>
  <c r="N15" i="6" s="1"/>
  <c r="H8" i="6"/>
  <c r="H28" i="6"/>
  <c r="N28" i="6" s="1"/>
  <c r="H30" i="6"/>
  <c r="H44" i="6"/>
  <c r="N44" i="6" s="1"/>
  <c r="H48" i="6"/>
  <c r="N48" i="6" s="1"/>
  <c r="H60" i="6"/>
  <c r="N60" i="6" s="1"/>
  <c r="H62" i="6"/>
  <c r="H7" i="6"/>
  <c r="H71" i="6"/>
  <c r="N71" i="6" s="1"/>
  <c r="H21" i="6"/>
  <c r="N21" i="6" s="1"/>
  <c r="H35" i="6"/>
  <c r="N35" i="6" s="1"/>
  <c r="H75" i="6"/>
  <c r="N75" i="6" s="1"/>
  <c r="H87" i="6"/>
  <c r="H94" i="6"/>
  <c r="N94" i="6" s="1"/>
  <c r="H96" i="6"/>
  <c r="N96" i="6" s="1"/>
  <c r="H98" i="6"/>
  <c r="N98" i="6" s="1"/>
  <c r="H101" i="6"/>
  <c r="N101" i="6" s="1"/>
  <c r="H25" i="6"/>
  <c r="N25" i="6" s="1"/>
  <c r="H64" i="6"/>
  <c r="N64" i="6" s="1"/>
  <c r="H76" i="6"/>
  <c r="N76" i="6" s="1"/>
  <c r="H93" i="6"/>
  <c r="N93" i="6" s="1"/>
  <c r="H95" i="6"/>
  <c r="N95" i="6" s="1"/>
  <c r="H97" i="6"/>
  <c r="N97" i="6" s="1"/>
  <c r="H100" i="6"/>
  <c r="N100" i="6" s="1"/>
  <c r="H36" i="6"/>
  <c r="N36" i="6" s="1"/>
  <c r="F17" i="2" l="1"/>
  <c r="N87" i="6"/>
  <c r="L125" i="6" s="1"/>
  <c r="K125" i="6"/>
  <c r="G18" i="2" s="1"/>
  <c r="K127" i="6"/>
  <c r="L122" i="6"/>
  <c r="P122" i="6"/>
  <c r="G19" i="4" s="1"/>
  <c r="N62" i="6"/>
  <c r="P127" i="6"/>
  <c r="G25" i="4" s="1"/>
  <c r="K122" i="6"/>
  <c r="G13" i="2" s="1"/>
  <c r="G20" i="2"/>
  <c r="J131" i="6"/>
  <c r="K126" i="6"/>
  <c r="G19" i="2" s="1"/>
  <c r="G14" i="2"/>
  <c r="N49" i="6"/>
  <c r="K130" i="6"/>
  <c r="G27" i="2" s="1"/>
  <c r="L130" i="6"/>
  <c r="N29" i="6"/>
  <c r="L127" i="6" s="1"/>
  <c r="N30" i="6"/>
  <c r="G20" i="4"/>
  <c r="N8" i="6"/>
  <c r="N31" i="6"/>
  <c r="L123" i="6" s="1"/>
  <c r="P126" i="6"/>
  <c r="G24" i="4" s="1"/>
  <c r="N7" i="6"/>
  <c r="J57" i="2"/>
  <c r="K57" i="2" s="1"/>
  <c r="P19" i="4" l="1"/>
  <c r="G17" i="2"/>
  <c r="P23" i="4"/>
  <c r="P25" i="4"/>
  <c r="P24" i="4"/>
  <c r="G22" i="4"/>
  <c r="H22" i="4" s="1"/>
  <c r="E18" i="2"/>
  <c r="G12" i="2"/>
  <c r="G18" i="4"/>
  <c r="E24" i="4"/>
  <c r="N1" i="6"/>
  <c r="K131" i="6"/>
  <c r="N2" i="6"/>
  <c r="L126" i="6"/>
  <c r="L131" i="6" s="1"/>
  <c r="P129" i="6"/>
  <c r="M41" i="5" s="1"/>
  <c r="K102" i="5"/>
  <c r="K103" i="5"/>
  <c r="J102" i="5"/>
  <c r="J104" i="5"/>
  <c r="P1" i="6" l="1"/>
  <c r="M131" i="6"/>
  <c r="N102" i="5"/>
  <c r="M102" i="5"/>
  <c r="J106" i="5" l="1"/>
  <c r="K105" i="5"/>
  <c r="K104" i="5" l="1"/>
  <c r="I12" i="2"/>
  <c r="L39" i="2"/>
  <c r="J16" i="2" l="1"/>
  <c r="M16" i="2"/>
  <c r="M39" i="2" l="1"/>
  <c r="N16" i="2"/>
  <c r="N39" i="2" s="1"/>
  <c r="K16" i="2"/>
  <c r="K39" i="2" s="1"/>
  <c r="J39" i="2"/>
  <c r="M57" i="2"/>
  <c r="N58" i="2" s="1"/>
  <c r="N57" i="2" s="1"/>
  <c r="M29" i="2" l="1"/>
  <c r="N29" i="2" s="1"/>
  <c r="M28" i="2"/>
  <c r="N28" i="2" s="1"/>
  <c r="M27" i="2"/>
  <c r="N27" i="2" s="1"/>
  <c r="M25" i="2"/>
  <c r="L12" i="2"/>
  <c r="N52" i="2" l="1"/>
  <c r="N50" i="2"/>
  <c r="F50" i="2"/>
  <c r="I50" i="2"/>
  <c r="L50" i="2"/>
  <c r="M50" i="2"/>
  <c r="F51" i="2"/>
  <c r="I51" i="2"/>
  <c r="J51" i="2"/>
  <c r="L51" i="2"/>
  <c r="M51" i="2"/>
  <c r="N51" i="2"/>
  <c r="E52" i="2"/>
  <c r="F52" i="2"/>
  <c r="G52" i="2"/>
  <c r="H52" i="2"/>
  <c r="I52" i="2"/>
  <c r="L52" i="2"/>
  <c r="M52" i="2"/>
  <c r="B51" i="2"/>
  <c r="B52" i="2"/>
  <c r="B50" i="2"/>
  <c r="F48" i="2"/>
  <c r="I48" i="2"/>
  <c r="J48" i="2"/>
  <c r="M48" i="2"/>
  <c r="B48" i="2"/>
  <c r="I45" i="2"/>
  <c r="L45" i="2"/>
  <c r="I46" i="2"/>
  <c r="B45" i="2"/>
  <c r="I41" i="2"/>
  <c r="L41" i="2"/>
  <c r="I42" i="2"/>
  <c r="I43" i="2"/>
  <c r="E44" i="2"/>
  <c r="F44" i="2"/>
  <c r="G44" i="2"/>
  <c r="I44" i="2"/>
  <c r="I36" i="2"/>
  <c r="L36" i="2"/>
  <c r="O36" i="2"/>
  <c r="P36" i="2"/>
  <c r="Q36" i="2"/>
  <c r="I37" i="2"/>
  <c r="L37" i="2"/>
  <c r="O37" i="2"/>
  <c r="P37" i="2"/>
  <c r="Q37" i="2"/>
  <c r="I31" i="4"/>
  <c r="B19" i="4"/>
  <c r="K28" i="2"/>
  <c r="K51" i="2" s="1"/>
  <c r="F26" i="2"/>
  <c r="F49" i="2" s="1"/>
  <c r="I26" i="2"/>
  <c r="I49" i="2" s="1"/>
  <c r="L26" i="2"/>
  <c r="L49" i="2" s="1"/>
  <c r="M26" i="2"/>
  <c r="M49" i="2" s="1"/>
  <c r="F24" i="2"/>
  <c r="F47" i="2" s="1"/>
  <c r="I24" i="2"/>
  <c r="I47" i="2" s="1"/>
  <c r="J24" i="2"/>
  <c r="J47" i="2" s="1"/>
  <c r="M24" i="2"/>
  <c r="M47" i="2" s="1"/>
  <c r="O24" i="2"/>
  <c r="P24" i="2"/>
  <c r="Q24" i="2"/>
  <c r="K25" i="2"/>
  <c r="K24" i="2" s="1"/>
  <c r="K47" i="2" s="1"/>
  <c r="L25" i="2"/>
  <c r="L24" i="2" s="1"/>
  <c r="L47" i="2" s="1"/>
  <c r="E51" i="2"/>
  <c r="G50" i="2"/>
  <c r="J29" i="2"/>
  <c r="J52" i="2" s="1"/>
  <c r="J27" i="2"/>
  <c r="K27" i="2" s="1"/>
  <c r="K50" i="2" s="1"/>
  <c r="G24" i="2"/>
  <c r="G47" i="2" s="1"/>
  <c r="O102" i="5"/>
  <c r="P95" i="5"/>
  <c r="K29" i="2" l="1"/>
  <c r="K52" i="2" s="1"/>
  <c r="J50" i="2"/>
  <c r="N26" i="2"/>
  <c r="N49" i="2" s="1"/>
  <c r="L35" i="2"/>
  <c r="K26" i="2"/>
  <c r="K49" i="2" s="1"/>
  <c r="J26" i="2"/>
  <c r="J49" i="2" s="1"/>
  <c r="K48" i="2"/>
  <c r="N25" i="2"/>
  <c r="G51" i="2"/>
  <c r="H25" i="2"/>
  <c r="H24" i="2" s="1"/>
  <c r="H47" i="2" s="1"/>
  <c r="L48" i="2"/>
  <c r="G26" i="2"/>
  <c r="G48" i="2"/>
  <c r="H28" i="2"/>
  <c r="H51" i="2" s="1"/>
  <c r="H27" i="2"/>
  <c r="H50" i="2" s="1"/>
  <c r="E27" i="2"/>
  <c r="Q95" i="5"/>
  <c r="I95" i="5"/>
  <c r="G95" i="5"/>
  <c r="G96" i="5" s="1"/>
  <c r="G49" i="2" l="1"/>
  <c r="G11" i="2"/>
  <c r="G56" i="2" s="1"/>
  <c r="H56" i="2" s="1"/>
  <c r="N48" i="2"/>
  <c r="N24" i="2"/>
  <c r="N47" i="2" s="1"/>
  <c r="E26" i="2"/>
  <c r="E49" i="2" s="1"/>
  <c r="E50" i="2"/>
  <c r="H26" i="2"/>
  <c r="H49" i="2" s="1"/>
  <c r="H48" i="2"/>
  <c r="E24" i="2"/>
  <c r="E47" i="2" s="1"/>
  <c r="E48" i="2"/>
  <c r="J105" i="5"/>
  <c r="Q99" i="5"/>
  <c r="G46" i="2"/>
  <c r="K106" i="5"/>
  <c r="F46" i="2"/>
  <c r="J22" i="2"/>
  <c r="K22" i="2" s="1"/>
  <c r="K45" i="2" s="1"/>
  <c r="L102" i="5"/>
  <c r="I106" i="5"/>
  <c r="I105" i="5"/>
  <c r="I104" i="5"/>
  <c r="J103" i="5"/>
  <c r="I103" i="5"/>
  <c r="I102" i="5"/>
  <c r="F42" i="2" l="1"/>
  <c r="G41" i="2"/>
  <c r="H16" i="2"/>
  <c r="H39" i="2" s="1"/>
  <c r="F45" i="2"/>
  <c r="J45" i="2" s="1"/>
  <c r="M22" i="2"/>
  <c r="N22" i="2" s="1"/>
  <c r="G45" i="2"/>
  <c r="I96" i="5"/>
  <c r="P96" i="5"/>
  <c r="M19" i="4"/>
  <c r="G42" i="2" l="1"/>
  <c r="G43" i="2"/>
  <c r="T20" i="2"/>
  <c r="F43" i="2"/>
  <c r="F37" i="2"/>
  <c r="F12" i="2"/>
  <c r="M13" i="2"/>
  <c r="N13" i="2" s="1"/>
  <c r="F36" i="2"/>
  <c r="N45" i="2"/>
  <c r="M45" i="2"/>
  <c r="F41" i="2"/>
  <c r="M18" i="2"/>
  <c r="N18" i="2" s="1"/>
  <c r="G36" i="2"/>
  <c r="E22" i="2"/>
  <c r="E45" i="2" s="1"/>
  <c r="H22" i="2"/>
  <c r="I99" i="5"/>
  <c r="H45" i="2" l="1"/>
  <c r="F35" i="2"/>
  <c r="F40" i="2"/>
  <c r="G40" i="2"/>
  <c r="G37" i="2"/>
  <c r="G35" i="2" s="1"/>
  <c r="M41" i="2"/>
  <c r="N41" i="2" l="1"/>
  <c r="J18" i="2"/>
  <c r="J41" i="2" s="1"/>
  <c r="M23" i="4"/>
  <c r="H23" i="4"/>
  <c r="K18" i="2" l="1"/>
  <c r="K41" i="2" s="1"/>
  <c r="E25" i="4"/>
  <c r="E41" i="2"/>
  <c r="N23" i="4"/>
  <c r="K23" i="4"/>
  <c r="O15" i="7" l="1"/>
  <c r="J12" i="7"/>
  <c r="E13" i="2" l="1"/>
  <c r="F30" i="2"/>
  <c r="G30" i="2"/>
  <c r="G34" i="2" s="1"/>
  <c r="I30" i="2"/>
  <c r="M21" i="4"/>
  <c r="E36" i="2" l="1"/>
  <c r="N21" i="4"/>
  <c r="J13" i="7"/>
  <c r="E20" i="4" l="1"/>
  <c r="H18" i="4" l="1"/>
  <c r="G17" i="4"/>
  <c r="K58" i="2" l="1"/>
  <c r="E30" i="4"/>
  <c r="M27" i="4"/>
  <c r="M26" i="4"/>
  <c r="M25" i="4"/>
  <c r="M14" i="4"/>
  <c r="N38" i="4"/>
  <c r="N36" i="4" s="1"/>
  <c r="F18" i="4"/>
  <c r="F30" i="4"/>
  <c r="G30" i="4"/>
  <c r="I30" i="4"/>
  <c r="J31" i="4"/>
  <c r="J30" i="4" s="1"/>
  <c r="H31" i="4"/>
  <c r="H30" i="4" s="1"/>
  <c r="F17" i="4" l="1"/>
  <c r="K31" i="4"/>
  <c r="K30" i="4" s="1"/>
  <c r="M20" i="4"/>
  <c r="L46" i="2"/>
  <c r="L44" i="2"/>
  <c r="L43" i="2"/>
  <c r="J23" i="2"/>
  <c r="H13" i="2"/>
  <c r="H23" i="2"/>
  <c r="H46" i="2" s="1"/>
  <c r="M36" i="2"/>
  <c r="E30" i="2"/>
  <c r="M14" i="2"/>
  <c r="N14" i="2" s="1"/>
  <c r="H18" i="2"/>
  <c r="H41" i="2" s="1"/>
  <c r="L42" i="2" l="1"/>
  <c r="L40" i="2" s="1"/>
  <c r="L17" i="2"/>
  <c r="M37" i="2"/>
  <c r="M12" i="2"/>
  <c r="H36" i="2"/>
  <c r="K23" i="2"/>
  <c r="K46" i="2" s="1"/>
  <c r="J46" i="2"/>
  <c r="K30" i="2"/>
  <c r="J30" i="2"/>
  <c r="H30" i="2"/>
  <c r="E23" i="2"/>
  <c r="E46" i="2" s="1"/>
  <c r="N36" i="2" l="1"/>
  <c r="M21" i="2"/>
  <c r="E22" i="4"/>
  <c r="H24" i="4"/>
  <c r="M44" i="2" l="1"/>
  <c r="N21" i="2"/>
  <c r="E20" i="2"/>
  <c r="H20" i="2"/>
  <c r="H43" i="2" s="1"/>
  <c r="H21" i="2"/>
  <c r="H44" i="2" s="1"/>
  <c r="H19" i="2"/>
  <c r="H42" i="2" s="1"/>
  <c r="R21" i="2"/>
  <c r="J21" i="2"/>
  <c r="J44" i="2" s="1"/>
  <c r="B44" i="2"/>
  <c r="H14" i="2"/>
  <c r="H37" i="2" l="1"/>
  <c r="H35" i="2" s="1"/>
  <c r="H12" i="2"/>
  <c r="R20" i="2"/>
  <c r="E43" i="2"/>
  <c r="H17" i="2"/>
  <c r="K21" i="2"/>
  <c r="K44" i="2" s="1"/>
  <c r="N44" i="2"/>
  <c r="I17" i="2"/>
  <c r="H11" i="2" l="1"/>
  <c r="H34" i="2" s="1"/>
  <c r="N37" i="2"/>
  <c r="N12" i="2"/>
  <c r="R13" i="2"/>
  <c r="L28" i="4"/>
  <c r="J24" i="4"/>
  <c r="J26" i="4"/>
  <c r="J27" i="4"/>
  <c r="J28" i="4"/>
  <c r="K28" i="4" s="1"/>
  <c r="O26" i="4"/>
  <c r="O24" i="4"/>
  <c r="N14" i="4"/>
  <c r="N28" i="4" l="1"/>
  <c r="L22" i="4"/>
  <c r="M24" i="4"/>
  <c r="M22" i="4" s="1"/>
  <c r="J22" i="4"/>
  <c r="K24" i="4"/>
  <c r="N25" i="4"/>
  <c r="K27" i="4"/>
  <c r="N26" i="4"/>
  <c r="K25" i="4"/>
  <c r="N27" i="4"/>
  <c r="K26" i="4"/>
  <c r="O20" i="4"/>
  <c r="N24" i="4" l="1"/>
  <c r="N22" i="4" s="1"/>
  <c r="K22" i="4"/>
  <c r="L18" i="4"/>
  <c r="L17" i="4" s="1"/>
  <c r="E19" i="4" l="1"/>
  <c r="O19" i="4" s="1"/>
  <c r="O21" i="4"/>
  <c r="J19" i="4" l="1"/>
  <c r="H19" i="4"/>
  <c r="K19" i="4" l="1"/>
  <c r="N19" i="4"/>
  <c r="M23" i="2" l="1"/>
  <c r="M20" i="2"/>
  <c r="M19" i="2"/>
  <c r="N19" i="2" s="1"/>
  <c r="J19" i="2"/>
  <c r="J42" i="2" s="1"/>
  <c r="E19" i="2"/>
  <c r="E42" i="2" s="1"/>
  <c r="J14" i="2"/>
  <c r="J13" i="2"/>
  <c r="E14" i="2"/>
  <c r="E12" i="2" s="1"/>
  <c r="K33" i="4"/>
  <c r="M43" i="2" l="1"/>
  <c r="N20" i="2"/>
  <c r="M46" i="2"/>
  <c r="N23" i="2"/>
  <c r="J12" i="2"/>
  <c r="M42" i="2"/>
  <c r="M17" i="2"/>
  <c r="M40" i="2" s="1"/>
  <c r="K13" i="2"/>
  <c r="J36" i="2"/>
  <c r="K14" i="2"/>
  <c r="K37" i="2" s="1"/>
  <c r="J37" i="2"/>
  <c r="E37" i="2"/>
  <c r="R19" i="2"/>
  <c r="E17" i="2"/>
  <c r="R14" i="2"/>
  <c r="H17" i="4"/>
  <c r="H39" i="4" s="1"/>
  <c r="K19" i="2"/>
  <c r="K42" i="2" s="1"/>
  <c r="M35" i="2"/>
  <c r="N46" i="2"/>
  <c r="I40" i="2"/>
  <c r="J35" i="2" l="1"/>
  <c r="K36" i="2"/>
  <c r="K35" i="2" s="1"/>
  <c r="K12" i="2"/>
  <c r="H20" i="4"/>
  <c r="P20" i="4" s="1"/>
  <c r="H27" i="4" l="1"/>
  <c r="H25" i="4"/>
  <c r="E18" i="4" l="1"/>
  <c r="N33" i="4"/>
  <c r="J14" i="4" l="1"/>
  <c r="J13" i="4"/>
  <c r="N30" i="2"/>
  <c r="N43" i="2" l="1"/>
  <c r="N42" i="2" l="1"/>
  <c r="N40" i="2" s="1"/>
  <c r="N17" i="2"/>
  <c r="N11" i="2" s="1"/>
  <c r="N34" i="2" s="1"/>
  <c r="N35" i="2"/>
  <c r="N56" i="2" l="1"/>
  <c r="C7" i="8" s="1"/>
  <c r="J20" i="2"/>
  <c r="J43" i="2" s="1"/>
  <c r="J40" i="2" s="1"/>
  <c r="H28" i="4"/>
  <c r="K20" i="2" l="1"/>
  <c r="K43" i="2" s="1"/>
  <c r="O14" i="7"/>
  <c r="I12" i="4"/>
  <c r="J17" i="2"/>
  <c r="K17" i="2" l="1"/>
  <c r="H40" i="2" l="1"/>
  <c r="K40" i="2"/>
  <c r="J20" i="4" l="1"/>
  <c r="J18" i="4" s="1"/>
  <c r="K20" i="4" l="1"/>
  <c r="K18" i="4" s="1"/>
  <c r="N20" i="4" l="1"/>
  <c r="M18" i="4"/>
  <c r="H26" i="4"/>
  <c r="J17" i="4" l="1"/>
  <c r="I34" i="4"/>
  <c r="H38" i="4"/>
  <c r="H37" i="4"/>
  <c r="H29" i="4"/>
  <c r="H33" i="4"/>
  <c r="H34" i="4"/>
  <c r="H36" i="4" l="1"/>
  <c r="I17" i="4"/>
  <c r="K17" i="4"/>
  <c r="M34" i="4"/>
  <c r="N34" i="4" s="1"/>
  <c r="M29" i="4"/>
  <c r="N29" i="4" l="1"/>
  <c r="M17" i="4"/>
  <c r="N18" i="4"/>
  <c r="K38" i="4" l="1"/>
  <c r="K36" i="4" s="1"/>
  <c r="K39" i="4" s="1"/>
  <c r="E34" i="4"/>
  <c r="E17" i="4" s="1"/>
  <c r="K14" i="4" l="1"/>
  <c r="K13" i="4"/>
  <c r="K12" i="4" l="1"/>
  <c r="N17" i="4" l="1"/>
  <c r="N39" i="4" s="1"/>
  <c r="H12" i="4" l="1"/>
  <c r="E12" i="4" l="1"/>
  <c r="G12" i="4"/>
  <c r="P40" i="2"/>
  <c r="O40" i="2"/>
  <c r="O35" i="2"/>
  <c r="Q30" i="2"/>
  <c r="Q17" i="2"/>
  <c r="E40" i="2"/>
  <c r="P12" i="2"/>
  <c r="Q12" i="2" s="1"/>
  <c r="K11" i="2" l="1"/>
  <c r="Q40" i="2"/>
  <c r="P35" i="2"/>
  <c r="Q35" i="2" s="1"/>
  <c r="Q11" i="2"/>
  <c r="K34" i="2" l="1"/>
  <c r="K56" i="2" s="1"/>
  <c r="Q34" i="2"/>
  <c r="Q56" i="2" s="1"/>
  <c r="L12" i="4" l="1"/>
  <c r="N12" i="4"/>
  <c r="S34" i="2" l="1"/>
  <c r="Q129" i="6" l="1"/>
  <c r="H5" i="9" l="1"/>
  <c r="O5" i="9" l="1"/>
  <c r="S5" i="9"/>
  <c r="H322" i="9"/>
  <c r="H323" i="9" s="1"/>
  <c r="F35" i="4" l="1"/>
  <c r="J35" i="4" l="1"/>
  <c r="G57" i="2" l="1"/>
  <c r="C5" i="8" s="1"/>
  <c r="G35" i="4" l="1"/>
  <c r="G39" i="4" l="1"/>
  <c r="H35" i="4"/>
  <c r="E35" i="4"/>
  <c r="C4" i="8" l="1"/>
  <c r="C8" i="8" s="1"/>
  <c r="O13" i="7"/>
  <c r="O16" i="7" s="1"/>
  <c r="P16" i="7" l="1"/>
  <c r="O1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sekachevaaa</author>
  </authors>
  <commentList>
    <comment ref="E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заполнено по данным бух. учета</t>
        </r>
      </text>
    </comment>
    <comment ref="H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не нужно заполнять</t>
        </r>
      </text>
    </comment>
    <comment ref="I7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заполнено по ставкам ТП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firsovaso</author>
  </authors>
  <commentList>
    <comment ref="G5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204"/>
          </rPr>
          <t>firsovaso:</t>
        </r>
        <r>
          <rPr>
            <sz val="9"/>
            <color indexed="81"/>
            <rFont val="Tahoma"/>
            <family val="2"/>
            <charset val="204"/>
          </rPr>
          <t xml:space="preserve">
реализация 31.12.2015г</t>
        </r>
      </text>
    </comment>
  </commentList>
</comments>
</file>

<file path=xl/sharedStrings.xml><?xml version="1.0" encoding="utf-8"?>
<sst xmlns="http://schemas.openxmlformats.org/spreadsheetml/2006/main" count="2076" uniqueCount="974">
  <si>
    <t>N п/п</t>
  </si>
  <si>
    <t>Показатели</t>
  </si>
  <si>
    <t>Фактические данные за предыдущий период регулирования</t>
  </si>
  <si>
    <t>предложение организации</t>
  </si>
  <si>
    <t>принято департаментом</t>
  </si>
  <si>
    <t>ставка платы</t>
  </si>
  <si>
    <t>мощность, длина линий</t>
  </si>
  <si>
    <t>Сумма (в соответствии с актами приемки выполненных работ)</t>
  </si>
  <si>
    <t xml:space="preserve">стандарт. тариф, ставка </t>
  </si>
  <si>
    <t>сумма</t>
  </si>
  <si>
    <t>стандарт. тариф. ставка</t>
  </si>
  <si>
    <t>(руб./кВт, руб./км)</t>
  </si>
  <si>
    <t>(кВт, км)</t>
  </si>
  <si>
    <t>(тыс. руб.)</t>
  </si>
  <si>
    <t>1.</t>
  </si>
  <si>
    <t>х</t>
  </si>
  <si>
    <t>1.1.</t>
  </si>
  <si>
    <t>1.2.</t>
  </si>
  <si>
    <t>1.3.</t>
  </si>
  <si>
    <t>строительством пунктов секционирования, на уровне напряжения i и (или) диапазоне мощности j</t>
  </si>
  <si>
    <t>1.4.</t>
  </si>
  <si>
    <t>2.</t>
  </si>
  <si>
    <t>3.</t>
  </si>
  <si>
    <t xml:space="preserve">Фактические данные за предыдущие периоды регулирования </t>
  </si>
  <si>
    <t>№ п/п</t>
  </si>
  <si>
    <t>ставка платы (руб./кВт, руб./км)</t>
  </si>
  <si>
    <t>мощность, длина линий (кВт, км)</t>
  </si>
  <si>
    <t>стандарт. тариф, ставка (руб./кВт, руб./км)</t>
  </si>
  <si>
    <t>сумма (тыс, руб.)</t>
  </si>
  <si>
    <r>
      <t>Расходы на выполнение организационно-технических мероприятий, связанные с осуществлением технологического присоединения [</t>
    </r>
    <r>
      <rPr>
        <b/>
        <sz val="12"/>
        <color rgb="FF106BBE"/>
        <rFont val="Times New Roman"/>
        <family val="1"/>
        <charset val="204"/>
      </rPr>
      <t>п.1.1</t>
    </r>
    <r>
      <rPr>
        <b/>
        <sz val="12"/>
        <color theme="1"/>
        <rFont val="Times New Roman"/>
        <family val="1"/>
        <charset val="204"/>
      </rPr>
      <t xml:space="preserve"> + </t>
    </r>
    <r>
      <rPr>
        <b/>
        <sz val="12"/>
        <color rgb="FF106BBE"/>
        <rFont val="Times New Roman"/>
        <family val="1"/>
        <charset val="204"/>
      </rPr>
      <t>п.1.2</t>
    </r>
    <r>
      <rPr>
        <b/>
        <sz val="12"/>
        <color theme="1"/>
        <rFont val="Times New Roman"/>
        <family val="1"/>
        <charset val="204"/>
      </rPr>
      <t xml:space="preserve"> + </t>
    </r>
    <r>
      <rPr>
        <b/>
        <sz val="12"/>
        <color rgb="FF106BBE"/>
        <rFont val="Times New Roman"/>
        <family val="1"/>
        <charset val="204"/>
      </rPr>
      <t>п.1.3</t>
    </r>
    <r>
      <rPr>
        <b/>
        <sz val="12"/>
        <color theme="1"/>
        <rFont val="Times New Roman"/>
        <family val="1"/>
        <charset val="204"/>
      </rPr>
      <t xml:space="preserve"> + </t>
    </r>
    <r>
      <rPr>
        <b/>
        <sz val="12"/>
        <color rgb="FF106BBE"/>
        <rFont val="Times New Roman"/>
        <family val="1"/>
        <charset val="204"/>
      </rPr>
      <t>п.1.4</t>
    </r>
    <r>
      <rPr>
        <b/>
        <sz val="12"/>
        <color theme="1"/>
        <rFont val="Times New Roman"/>
        <family val="1"/>
        <charset val="204"/>
      </rPr>
      <t>]:</t>
    </r>
  </si>
  <si>
    <t>подготовка и выдача сетевой организацией технических условий (ТУ) Заявителю, на уровне напряжения i и (или) диапазоне мощности j</t>
  </si>
  <si>
    <t>проверка сетевой организацией выполнения Заявителем ТУ, на уровне напряжения i и (или) диапазоне мощности j</t>
  </si>
  <si>
    <t>участие в осмотре должностным лицом органа федерального, государственного энергетического надзора при участии сетевой организации и собственника присоединяемых Устройств Заявителя, на уровне напряжения i и (или) диапазоне мощности j</t>
  </si>
  <si>
    <t>Осуществление сетевой организацией фактического присоединения объектов Заявителя к электрическим сетям и включение коммутационного аппарата (фиксация коммутационного аппарата в положение "включено"), на уровне напряжения i и (или) диапазоне мощности j</t>
  </si>
  <si>
    <t>Размер платы за технологическое присоединение (руб. без НДС)</t>
  </si>
  <si>
    <r>
      <t xml:space="preserve">Плановое количество договоров на осуществление технологическое присоединение к электрическим сетям (плановое количество членов объединений (организаций), указанных в </t>
    </r>
    <r>
      <rPr>
        <sz val="12"/>
        <color rgb="FF106BBE"/>
        <rFont val="Times New Roman"/>
        <family val="1"/>
        <charset val="204"/>
      </rPr>
      <t>п. 13</t>
    </r>
    <r>
      <rPr>
        <sz val="12"/>
        <color theme="1"/>
        <rFont val="Times New Roman"/>
        <family val="1"/>
        <charset val="204"/>
      </rPr>
      <t xml:space="preserve"> Методических указаний по определению размера платы за технологическое присоединение к электрическим сетям, утвержденных </t>
    </r>
    <r>
      <rPr>
        <sz val="12"/>
        <color rgb="FF106BBE"/>
        <rFont val="Times New Roman"/>
        <family val="1"/>
        <charset val="204"/>
      </rPr>
      <t>приказом</t>
    </r>
    <r>
      <rPr>
        <sz val="12"/>
        <color theme="1"/>
        <rFont val="Times New Roman"/>
        <family val="1"/>
        <charset val="204"/>
      </rPr>
      <t xml:space="preserve"> ФСТ России от 11 сентября 2012 года, N 209-э/1) (шт.)</t>
    </r>
  </si>
  <si>
    <t>4.</t>
  </si>
  <si>
    <t>Расчет размера расходов, связанных с осуществлением технологического присоединения энергопринимающих устройств максимальной мощностью, не превышающей 15 кВт включительно, не включаемых в состав платы за технологическое присоединение</t>
  </si>
  <si>
    <t>Принято Регулятором</t>
  </si>
  <si>
    <t>Принято регулятором</t>
  </si>
  <si>
    <t>строительство кабельных линий, на уровне напряжения 0,4-1кВ (до 50мм)</t>
  </si>
  <si>
    <t>Справочно</t>
  </si>
  <si>
    <t>строительство воздушных линий, на уровне напряжения 0,4-1кВ (СИП от 50 до 100мм)</t>
  </si>
  <si>
    <t>строительство комплектных трансформаторных подстанций (КТП), распределительных трансформаторных подстанций (РТП) с уровнем напряжения до 35 кВ, на уровне напряжения i и (или) диапазоне мощности 250кВА</t>
  </si>
  <si>
    <t>(без НДС)</t>
  </si>
  <si>
    <t xml:space="preserve">Расходы по мероприятиям "последней мили", связанные с осуществлением технологического присоединения </t>
  </si>
  <si>
    <t>Строительство воздушных линий</t>
  </si>
  <si>
    <t>строительство воздушных линий, на уровне напряжения 0,4-1кВ (СИП от 50мм до 100мм)</t>
  </si>
  <si>
    <t>3.3.1.3.1</t>
  </si>
  <si>
    <t>3.3.1.3.2</t>
  </si>
  <si>
    <t>строительство кабельных линий, на уровне напряжения 0,4-1кВ (от 50 до 100мм)</t>
  </si>
  <si>
    <t>строительство кабельных линий, на уровне напряжения 0,4-1кВ (от 100 до 200мм)</t>
  </si>
  <si>
    <t>строительство воздушных линий, на уровне напряжения 6-10кВ (СИП от 50 до 100мм)</t>
  </si>
  <si>
    <t>4.1.1.1.3</t>
  </si>
  <si>
    <t>4.1.1.1.4</t>
  </si>
  <si>
    <t>строительство кабельных линий, на уровне напряжения 6-10кВ (от 50 до 100мм)</t>
  </si>
  <si>
    <t>строительство кабельных линий, на уровне напряжения 6-10кВ (от 100 до 200мм)</t>
  </si>
  <si>
    <t>4.1.1.2.2</t>
  </si>
  <si>
    <t>4.1.1.2.3</t>
  </si>
  <si>
    <t>5.</t>
  </si>
  <si>
    <t>Сумма (в соответствии с актами приемки выполненных работ) (тыс. руб.)</t>
  </si>
  <si>
    <t>6.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</si>
  <si>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</si>
  <si>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</si>
  <si>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7.</t>
  </si>
  <si>
    <t>Строительство распределительных трансформаторных подстанций (РТП) с уровнем напряжения до 35 кВ</t>
  </si>
  <si>
    <t xml:space="preserve">Строительство центров питания, подстанций уровнем напряжения 35 кВ и выше (ПС)
</t>
  </si>
  <si>
    <t>8.</t>
  </si>
  <si>
    <t>7.1.3</t>
  </si>
  <si>
    <t xml:space="preserve">Суммарный размер платы за технологическое присоединение [п. 9.1 * п. 9.2 / 1000]:
</t>
  </si>
  <si>
    <t>9.</t>
  </si>
  <si>
    <t>9.1.</t>
  </si>
  <si>
    <t>9.2.</t>
  </si>
  <si>
    <t xml:space="preserve">Плановое количество договоров на осуществление технологическое присоединение к электрическим сетям (плановое количество членов объединений (организаций), указанных в п. 9 Методических указаний по определению размера платы за технологическое присоединение к электрическим сетям, утвержденных приказом ФАС России от 29.08.2017 N 1135/17 (зарегистрирован Минюстом России 19.10.2017 N 48609) (шт.)
</t>
  </si>
  <si>
    <t xml:space="preserve">Размер расходов, связанных с осуществлением технологического присоединения к электрическим сетям, не включаемых в состав платы за технологическое присоединение (п. 1 + п. 2 - п. 9)
</t>
  </si>
  <si>
    <t xml:space="preserve">Расходы по мероприятиям "последней мили", связанные с осуществлением технологического присоединения к электрическим сетям [пункт 2 + пункт 3 + пункт 4 + пункт 5 + пункт 6 + пункт 7]:
</t>
  </si>
  <si>
    <t xml:space="preserve">строительство воздушных линий </t>
  </si>
  <si>
    <t>строительство воздушных линий, на уровне напряжения 0,4-1кВ (СИП до 50 мм)</t>
  </si>
  <si>
    <t>строительство кабельных линий</t>
  </si>
  <si>
    <t xml:space="preserve">строительство кабельных линий </t>
  </si>
  <si>
    <t>3.1.1.1.1.</t>
  </si>
  <si>
    <t>3.1.1.1.2.</t>
  </si>
  <si>
    <t>3.1.1.1.3</t>
  </si>
  <si>
    <t>3.1.1.2.3.</t>
  </si>
  <si>
    <t>Строительство пунктов секционирования</t>
  </si>
  <si>
    <t>Строительство центров питания, подстанций уровнем напряжения 35 кВ и выше (ПС)</t>
  </si>
  <si>
    <t xml:space="preserve">Суммарный размер платы за технологическое присоединение в части мероприятий "последней мили" [пункт 9 + пункт 10 + пункт 11 + пункт 12 + пункт 13 + пункт 14]:
</t>
  </si>
  <si>
    <t>9.3.1.4.1.</t>
  </si>
  <si>
    <t>9.3.1.4.2.</t>
  </si>
  <si>
    <t>10.</t>
  </si>
  <si>
    <t>10.1.1.1.1.</t>
  </si>
  <si>
    <t>10.1.1.1.3</t>
  </si>
  <si>
    <t>10.1.1.2.3.</t>
  </si>
  <si>
    <t>10.1.1.1.2.</t>
  </si>
  <si>
    <t>11.</t>
  </si>
  <si>
    <t>строительством пунктов секционирования</t>
  </si>
  <si>
    <t>12.</t>
  </si>
  <si>
    <t>13.</t>
  </si>
  <si>
    <t>14.</t>
  </si>
  <si>
    <t>15.</t>
  </si>
  <si>
    <t>Размер расходов по мероприятиям "последней мили", связанных с осуществлением технологического присоединения к электрическим сетям, не включаемых в плату за технологическое присоединение [пункт 1 - пункт 8]</t>
  </si>
  <si>
    <t>мощность, длина линий (кВт, км, кол-во договоров)</t>
  </si>
  <si>
    <t>4.1.1.1.2</t>
  </si>
  <si>
    <t>3.1.1.1.4</t>
  </si>
  <si>
    <t>10.1.1.1.4</t>
  </si>
  <si>
    <t>разница в ставках факт-утверждено</t>
  </si>
  <si>
    <t>Разница</t>
  </si>
  <si>
    <t>Расчет размера расходов, связанных с осуществлением технологического присоединения энергопринимающих устройств максимальной мощностью от 15  до 150 кВт включительно, не включаемых в состав платы за технологическое присоединение</t>
  </si>
  <si>
    <t>строительство кабельных линий, на уровне напряжения 0,4-1кВ (свыше 200мм)</t>
  </si>
  <si>
    <t>6.2.4.</t>
  </si>
  <si>
    <t>Двухтрансформаторная подстанция от 250 до 400 кВА</t>
  </si>
  <si>
    <t>руб.</t>
  </si>
  <si>
    <t>от 15 до 150кВт</t>
  </si>
  <si>
    <t>СПРАВОЧНО</t>
  </si>
  <si>
    <t>Наименование ОС</t>
  </si>
  <si>
    <t>Номер договора</t>
  </si>
  <si>
    <t>Контрагент/ФЛ</t>
  </si>
  <si>
    <t>сумма договора</t>
  </si>
  <si>
    <t>Оплачено</t>
  </si>
  <si>
    <t>Расходы</t>
  </si>
  <si>
    <t>Расход кабеля, СИП</t>
  </si>
  <si>
    <t>ИТОГО</t>
  </si>
  <si>
    <t>Материалы</t>
  </si>
  <si>
    <t>ЗП</t>
  </si>
  <si>
    <t xml:space="preserve">отчисления </t>
  </si>
  <si>
    <t>ГСМ</t>
  </si>
  <si>
    <t>км</t>
  </si>
  <si>
    <t>Марка кабеля, СИП</t>
  </si>
  <si>
    <t>кабель АВБШв 4*120</t>
  </si>
  <si>
    <t>КТП-119 ул.Тарасова-Шуйская - ВЛ-0,4кВ (1400684)</t>
  </si>
  <si>
    <t>провод СИП-2 3х35+1х54,6</t>
  </si>
  <si>
    <t>провод СИП -4 4*16</t>
  </si>
  <si>
    <t>провод СИП -4 2*16</t>
  </si>
  <si>
    <t>провод СИП-2 3х70+1х70</t>
  </si>
  <si>
    <t>провод СИП-2 3х50+1х54,6</t>
  </si>
  <si>
    <t>провод СИП-2 3х95+1х95</t>
  </si>
  <si>
    <t>Шитиков А.А.</t>
  </si>
  <si>
    <t>ТП-474 ул.Юбилейная - ВЛ-0,4 кв (1400844)</t>
  </si>
  <si>
    <t>кабель АВБШв 4х70</t>
  </si>
  <si>
    <t>себестоимость работ по договорам техприсоединения</t>
  </si>
  <si>
    <t>№</t>
  </si>
  <si>
    <t>месяц выполнения работ</t>
  </si>
  <si>
    <t>Наименование контрагента</t>
  </si>
  <si>
    <t xml:space="preserve">Адрес </t>
  </si>
  <si>
    <t>Сумма договора</t>
  </si>
  <si>
    <t>Оплачено дату отчета</t>
  </si>
  <si>
    <t>отчисления</t>
  </si>
  <si>
    <t>Общепроиз.расходы (без ГСМ)</t>
  </si>
  <si>
    <t>Общехоз.расходы</t>
  </si>
  <si>
    <t>МБУ УГХ</t>
  </si>
  <si>
    <t>итого за февраль</t>
  </si>
  <si>
    <t>итого за март</t>
  </si>
  <si>
    <t>итого за апрель</t>
  </si>
  <si>
    <t>итого за июнь</t>
  </si>
  <si>
    <t>строительство кабельных линий, на уровне напряжения 0,4-1кВ (от 50мм до 100мм)</t>
  </si>
  <si>
    <t>6.1.4.</t>
  </si>
  <si>
    <t>Генеральный директор ОАО "Рыбинская городская электросеть"</t>
  </si>
  <si>
    <t>Р.Р. Асадов</t>
  </si>
  <si>
    <t>ОАО "РЫБИНСКАЯ ГОРОДСКАЯ ЭЛЕКТРОСЕТЬ"</t>
  </si>
  <si>
    <t>Оборотно-сальдовая ведомость по счету 20.01 за 2019 г.</t>
  </si>
  <si>
    <t>Выводимые данные:</t>
  </si>
  <si>
    <t>БУ (данные бухгалтерского учета)</t>
  </si>
  <si>
    <t>Отбор:</t>
  </si>
  <si>
    <t>Номенклатурные группы Равно "Технологическое присоединение "</t>
  </si>
  <si>
    <t>Счет</t>
  </si>
  <si>
    <t>Сальдо на начало периода</t>
  </si>
  <si>
    <t>Обороты за период</t>
  </si>
  <si>
    <t>Сальдо на конец периода</t>
  </si>
  <si>
    <t>Статьи затрат</t>
  </si>
  <si>
    <t>Дебет</t>
  </si>
  <si>
    <t>Кредит</t>
  </si>
  <si>
    <t>20.01</t>
  </si>
  <si>
    <t>&lt;...&gt;</t>
  </si>
  <si>
    <t>262 исполненных договора за 2019 год, из них</t>
  </si>
  <si>
    <t>автотранспортные услуги (строительство)</t>
  </si>
  <si>
    <t>до 15кВт</t>
  </si>
  <si>
    <t xml:space="preserve">Амортизация </t>
  </si>
  <si>
    <t>до 150кВт</t>
  </si>
  <si>
    <t>аудиторские услуги</t>
  </si>
  <si>
    <t>свыше 150кВт</t>
  </si>
  <si>
    <t>вывоз и утилизация ТБО</t>
  </si>
  <si>
    <t>дератизация</t>
  </si>
  <si>
    <t>доставка грузов</t>
  </si>
  <si>
    <t xml:space="preserve">запчасти и материалы для автотанспорта </t>
  </si>
  <si>
    <t>инструмент и оборудование производственные</t>
  </si>
  <si>
    <t>информационные услуги</t>
  </si>
  <si>
    <t>канцтовары</t>
  </si>
  <si>
    <t>консультационные услуги</t>
  </si>
  <si>
    <t>Лицензирование, сертификация, СРО</t>
  </si>
  <si>
    <t>мебель</t>
  </si>
  <si>
    <t>медицинские принадлежности</t>
  </si>
  <si>
    <t>медосмотры</t>
  </si>
  <si>
    <t>Налог на землю</t>
  </si>
  <si>
    <t>Налог на имущество организации</t>
  </si>
  <si>
    <t>Налог на транспорт</t>
  </si>
  <si>
    <t xml:space="preserve">обеспечение пожарной безопасности </t>
  </si>
  <si>
    <t>обслуживание оргтехники и программного обеспечения</t>
  </si>
  <si>
    <t>обучение персонала</t>
  </si>
  <si>
    <t>Оплата труда</t>
  </si>
  <si>
    <t>оргтехника</t>
  </si>
  <si>
    <t>Платежи за негативное воздействия на окружающую среду</t>
  </si>
  <si>
    <t>подбор персонала</t>
  </si>
  <si>
    <t>почтовые услуги</t>
  </si>
  <si>
    <t>проездные</t>
  </si>
  <si>
    <t>проектные и кадастровые работы</t>
  </si>
  <si>
    <t>размещение информации (раскрытие в СМИ)</t>
  </si>
  <si>
    <t>Расходы на получение разрешений, свидетельств, справок (гос.органы)</t>
  </si>
  <si>
    <t>реклама</t>
  </si>
  <si>
    <t>ремонт зданий, помещений</t>
  </si>
  <si>
    <t>ремонт и ТО автотранспорта</t>
  </si>
  <si>
    <t>ремонт и ТО производстенного и хозяйственного оборудования, инвентаря</t>
  </si>
  <si>
    <t>связь</t>
  </si>
  <si>
    <t>Спецодежда и спецоснастка</t>
  </si>
  <si>
    <t xml:space="preserve">спецоценка </t>
  </si>
  <si>
    <t>стирка и химчистка</t>
  </si>
  <si>
    <t>страхование ответсвенности, имущества</t>
  </si>
  <si>
    <t>Страховые взносы</t>
  </si>
  <si>
    <t>Сырье и материалы</t>
  </si>
  <si>
    <t>Сырье и материалы на текущее содержание</t>
  </si>
  <si>
    <t>Сырье и материалы на текущий ремонт</t>
  </si>
  <si>
    <t>Топливо и ГСМ для работы автотранспорта</t>
  </si>
  <si>
    <t>услуги операторов электронных площадок</t>
  </si>
  <si>
    <t>хозинвентарь и моющие принадлежности</t>
  </si>
  <si>
    <t>электроэнергия, теплоэнергия, вода для собственных нужд</t>
  </si>
  <si>
    <t>юридические услуги (адвоката, нотариуса)</t>
  </si>
  <si>
    <t>Итого</t>
  </si>
  <si>
    <t>бумага</t>
  </si>
  <si>
    <t>Управление строительства</t>
  </si>
  <si>
    <t>Тихомиров И.А.</t>
  </si>
  <si>
    <t>ул.50 лет ВЛКСМ,45</t>
  </si>
  <si>
    <t>итого за январь</t>
  </si>
  <si>
    <t>ООО Реском</t>
  </si>
  <si>
    <t>итого за полугодие</t>
  </si>
  <si>
    <t>итого за август</t>
  </si>
  <si>
    <t>провод СИП-4 4х35</t>
  </si>
  <si>
    <t>Ярдорслужба</t>
  </si>
  <si>
    <t>ООО УК Судоверфь</t>
  </si>
  <si>
    <t>пос.Кедровка,20</t>
  </si>
  <si>
    <t>ООО СЗ АПНК</t>
  </si>
  <si>
    <t>ул.Пушкина,24</t>
  </si>
  <si>
    <t>Салугин И.Ю.</t>
  </si>
  <si>
    <t>Ярославский тракт,96в</t>
  </si>
  <si>
    <t>Жаркой А.В.</t>
  </si>
  <si>
    <t>ул.Заречная,28</t>
  </si>
  <si>
    <t>ул.Череповецкая,33</t>
  </si>
  <si>
    <t>Смирнова Л.Р.</t>
  </si>
  <si>
    <t>ул.Папанина,33</t>
  </si>
  <si>
    <t>Махов П.С.</t>
  </si>
  <si>
    <t>ул.Сигнальная,24</t>
  </si>
  <si>
    <t>Глызина А.Ю.</t>
  </si>
  <si>
    <t>ул.Тракторная,41</t>
  </si>
  <si>
    <t>Боровков М.В.</t>
  </si>
  <si>
    <t>ул.Новгородская,12</t>
  </si>
  <si>
    <t>пр.Серова,89</t>
  </si>
  <si>
    <t>пр.Серова,2</t>
  </si>
  <si>
    <t>ООО Лидер</t>
  </si>
  <si>
    <t>ул.М.Казанская,8</t>
  </si>
  <si>
    <t>ул.грекова,1а</t>
  </si>
  <si>
    <t>итого за октябрь</t>
  </si>
  <si>
    <t>ООО Арсенал-СП</t>
  </si>
  <si>
    <t>ул.Гражданская,68</t>
  </si>
  <si>
    <t>итого за ноябрь</t>
  </si>
  <si>
    <t>Полатова Д.Р.</t>
  </si>
  <si>
    <t>ул.Рокоссовского,18</t>
  </si>
  <si>
    <t>ул.Волочаевская/ул.нансена</t>
  </si>
  <si>
    <t>ул.М.Горького,84</t>
  </si>
  <si>
    <t>Комаров В.В.</t>
  </si>
  <si>
    <t>ул.Жуковская,5а</t>
  </si>
  <si>
    <t>итого за декабрь</t>
  </si>
  <si>
    <t>ИТОГО ЗА ГОД</t>
  </si>
  <si>
    <t>ТП-338 ул.3-я Перекатная - ВЛ-0,4 кв (1400841)</t>
  </si>
  <si>
    <t>КТП-123 ул.Александровская - ВЛ-0,4кВ (1400107)</t>
  </si>
  <si>
    <t>Родин А.А.</t>
  </si>
  <si>
    <t>провод СИП-4 4х25</t>
  </si>
  <si>
    <t>Воздушная линия ВЛ-0,4кВ ТП-339 ф. в ст.1-я Тоговщинская (1400965)</t>
  </si>
  <si>
    <t>ТП-55 ул.Щепкина - ВЛ-0,4 кв (1400786)</t>
  </si>
  <si>
    <t>провод СИП-4 4х95</t>
  </si>
  <si>
    <t>Смолкин В.В.</t>
  </si>
  <si>
    <t>КЛ-0,4кВ ТП-36 -РЩ на пл.Дерунова</t>
  </si>
  <si>
    <t>4.1.1.1.1</t>
  </si>
  <si>
    <t xml:space="preserve">кабель АВБШв 4*120     </t>
  </si>
  <si>
    <t>2.3.1.3.1.</t>
  </si>
  <si>
    <t>2.3.1.3.2.</t>
  </si>
  <si>
    <t>2.3.1.3.2</t>
  </si>
  <si>
    <t>3.1.1.1.2</t>
  </si>
  <si>
    <t>провод СИП-4 4х70</t>
  </si>
  <si>
    <t>3.1.1.2.2.</t>
  </si>
  <si>
    <t>до 150 кВт</t>
  </si>
  <si>
    <t>до 15 кВт</t>
  </si>
  <si>
    <t>оплачено</t>
  </si>
  <si>
    <t>расход</t>
  </si>
  <si>
    <t>выпадающие</t>
  </si>
  <si>
    <t>протяж-ть</t>
  </si>
  <si>
    <t>расходы</t>
  </si>
  <si>
    <t>выпадающ</t>
  </si>
  <si>
    <t>5.1.1.5.</t>
  </si>
  <si>
    <t>5.1.1.4.</t>
  </si>
  <si>
    <t>Однотрансформаторная подстанция от 250 до 500 кВА</t>
  </si>
  <si>
    <t>5.1.2.4.</t>
  </si>
  <si>
    <t>Двухтрансформаторная подстанция от 250 до 500 кВА</t>
  </si>
  <si>
    <t>Однотрансформаторная подстанция от 500 до 1000 кВА</t>
  </si>
  <si>
    <t>Строительство новой линейной ячейки от 1000А и  выше</t>
  </si>
  <si>
    <t>строительство кабельных линий, на уровне напряжения 0,4-1кВ (свыше 200 мм)</t>
  </si>
  <si>
    <t>10.1.1.2.2.</t>
  </si>
  <si>
    <t>11.3.2.</t>
  </si>
  <si>
    <t>12.1.1.4.</t>
  </si>
  <si>
    <t>12.1.1.5.</t>
  </si>
  <si>
    <t>12.1.2.4.</t>
  </si>
  <si>
    <t>строительство воздушных линий, на уровне напряжения 1-20кВ (СИП от 50 до 100мм)</t>
  </si>
  <si>
    <t>Мощность по договору ТП</t>
  </si>
  <si>
    <t>Обеспечение средствами коммерческого учета электрической энергии (мощности)</t>
  </si>
  <si>
    <t>за 2021 год</t>
  </si>
  <si>
    <t>от 15 до 150 кВт</t>
  </si>
  <si>
    <t>Установленный ПУ по договору ТП (№ ставки по приказу)</t>
  </si>
  <si>
    <t>Горелова О.М.</t>
  </si>
  <si>
    <t>ул.Советская,7</t>
  </si>
  <si>
    <t>Бушков Е.В.</t>
  </si>
  <si>
    <t>ул.Алябьева,6а</t>
  </si>
  <si>
    <t>Степанов А.А.</t>
  </si>
  <si>
    <t>ул.М.Вольская,22</t>
  </si>
  <si>
    <t>итого за 1 квартал 2021</t>
  </si>
  <si>
    <t>Волкова Е.В.</t>
  </si>
  <si>
    <t>Окружная дорога,24а</t>
  </si>
  <si>
    <t>Еременко В.В.</t>
  </si>
  <si>
    <t>ул.Труда,22</t>
  </si>
  <si>
    <t xml:space="preserve">ПАО МТС </t>
  </si>
  <si>
    <t>ул.Фурманова,35</t>
  </si>
  <si>
    <t>провод СИП - 4*16</t>
  </si>
  <si>
    <t>Коровин А.М.</t>
  </si>
  <si>
    <t>ул.Ак.Павлова,41</t>
  </si>
  <si>
    <t>Пятериков В.А.</t>
  </si>
  <si>
    <t>ул.Бадаева,5</t>
  </si>
  <si>
    <t>ул.5-я Тарнопольская,31</t>
  </si>
  <si>
    <t>Шарунова И.А.</t>
  </si>
  <si>
    <t>ул.Дорожная,8</t>
  </si>
  <si>
    <t>Богданов Е.А.</t>
  </si>
  <si>
    <t>Пошехонский тракт,2</t>
  </si>
  <si>
    <t>пр.Ленина</t>
  </si>
  <si>
    <t>Миронов А.Г.</t>
  </si>
  <si>
    <t>ул.Пятилетки,90а</t>
  </si>
  <si>
    <t>Захаренков Д.В.</t>
  </si>
  <si>
    <t>ул.Мологская,85</t>
  </si>
  <si>
    <t>Кондратов С.В.</t>
  </si>
  <si>
    <t>ул.3-я Торнопольская,20</t>
  </si>
  <si>
    <t>итого за 9 месяцев</t>
  </si>
  <si>
    <t>Гапошкина И.В.</t>
  </si>
  <si>
    <t>Сосновый пер.,11а</t>
  </si>
  <si>
    <t>Рыбаков А.В.</t>
  </si>
  <si>
    <t>ул.Тарасова,135</t>
  </si>
  <si>
    <t>Головина Е.А.</t>
  </si>
  <si>
    <t>ул.Тарасова,138</t>
  </si>
  <si>
    <t>итого за год</t>
  </si>
  <si>
    <t>счет 60,76 (подрядные работы)</t>
  </si>
  <si>
    <t>ТП-224 Ярославский тр - ВЛ-0,4 кв (1400835)</t>
  </si>
  <si>
    <t>КЛ-0,4кВ от ТП-409 до ул.Н.Невского,31</t>
  </si>
  <si>
    <t>Френкель А.В.</t>
  </si>
  <si>
    <t>ТП-118 ул.Тарасова-Ляпидевского -  ВЛ-0,4кВ (1400102)</t>
  </si>
  <si>
    <t>Чернов В.Ю.</t>
  </si>
  <si>
    <t>Иванова Г.Е.</t>
  </si>
  <si>
    <t>ТП-180 ВЛ-0,4кВ ул.Ширшова в ст.3-я Тарнопольская (инв.1401068)</t>
  </si>
  <si>
    <t>КЛ-0,4кВ от РП-24 до ул.Суркова,14</t>
  </si>
  <si>
    <t xml:space="preserve">кабель АВБШв 4*120       </t>
  </si>
  <si>
    <t>Линия электропередачи воздушная от ул.Свободы до ул.Димитрова (1500551)</t>
  </si>
  <si>
    <t>Гуров В.В.</t>
  </si>
  <si>
    <t>КЛ-0,4кВ ТП-340 - ул.Гражданская,68</t>
  </si>
  <si>
    <t>ООО СЗ "Арсенал-СП"</t>
  </si>
  <si>
    <t>кабель АВБШв 4*150</t>
  </si>
  <si>
    <t xml:space="preserve">Воздушная линия ВЛ-0,4кВ КТП-127 ул.9января (1400953) </t>
  </si>
  <si>
    <t>Новиков Е.Н.</t>
  </si>
  <si>
    <t>КВЛ 0,4 кВ ТП-60 до ул. Ст.Разина 26а</t>
  </si>
  <si>
    <t>Давыдов С.В.</t>
  </si>
  <si>
    <t xml:space="preserve"> КВЛ-6,0 кВ от КТП-60 врезка в ТП-54-ТП-59 </t>
  </si>
  <si>
    <t>Оборудование КТП-60</t>
  </si>
  <si>
    <t>КЛ-0,4 кВ ТП-549 до ул.Энергетиков,6а</t>
  </si>
  <si>
    <t>дет.сад. №97</t>
  </si>
  <si>
    <t>КЛ-0,4кВ от ТП-309 до б-ра Победы,15а</t>
  </si>
  <si>
    <t>Росимпел</t>
  </si>
  <si>
    <t>КЛ-0,4кВ от ТП-316 до б-ра Победы,15а</t>
  </si>
  <si>
    <t xml:space="preserve">КЛ-0,4кВ ТП-363 - ул.Баженова,1а </t>
  </si>
  <si>
    <t>Строитель</t>
  </si>
  <si>
    <t xml:space="preserve">КТП-119 ул.Тарасова-Шуйская - ВЛ-0,4кВ (1400684) </t>
  </si>
  <si>
    <t>Зубова Т.В.</t>
  </si>
  <si>
    <t>Воздушная линия ВЛ-0,4кВ МТП-167 ул.Макаренко  (1400139)</t>
  </si>
  <si>
    <t xml:space="preserve">провод СИП -4 2*16                       </t>
  </si>
  <si>
    <t>КЛ-0,4кВ ТП-334 до ул.9 Мая,33а</t>
  </si>
  <si>
    <t>Громов В.Н.</t>
  </si>
  <si>
    <t>ТП-334 ул.Кулибина - ВЛ-0,4 кв (1400838)</t>
  </si>
  <si>
    <t>Воздушная линия ВЛ-0,4кВ от ТП-313 до ул.Расторгуева,16 (частично по опорам НО) (1400984)</t>
  </si>
  <si>
    <t>Белопольский Я.В.</t>
  </si>
  <si>
    <t>ТП-345 ул.Осипенко - ВЛ-0,4 кв (1400231)</t>
  </si>
  <si>
    <t>Тырновский С.А.</t>
  </si>
  <si>
    <t>КВЛ-0,4кВ от ТП-90 до Ярославский тракт,9</t>
  </si>
  <si>
    <t>ООО Баланс</t>
  </si>
  <si>
    <t>КТП-114 ул.Костромская - ВЛ-0,4кВ (1400814)</t>
  </si>
  <si>
    <t>ТП-111 ул.Ошурковская - ВЛ-0,4кв (1400846)</t>
  </si>
  <si>
    <t>Сумеркин А.А.</t>
  </si>
  <si>
    <t>КЛ-6,0кВ от РП-7 до ул.Полиграфская,1г</t>
  </si>
  <si>
    <t>ООО ПК Силар</t>
  </si>
  <si>
    <t>кабель ААБл 10 3х70</t>
  </si>
  <si>
    <t>КВЛ-0,4кВ от ТП-114 до Пошехонский тракт,2</t>
  </si>
  <si>
    <t>КВЛ-0,4кВ от ТП-85 до Ярославский тракт,41г</t>
  </si>
  <si>
    <t>Абдуллаев М.М.</t>
  </si>
  <si>
    <t>ул.Чкалова,50 ВЛ-0,4кВ по фасаду ул.Чкалова,50</t>
  </si>
  <si>
    <t>Бойков А.Ю.</t>
  </si>
  <si>
    <t>ТП-112 ул.Садовских - ВЛ-0,4кВ (1400812)</t>
  </si>
  <si>
    <t>Карамышев Е.А.</t>
  </si>
  <si>
    <t>ВЛ-0,4кВ ТП-180 в стор. 3-я Тарнопольская,20</t>
  </si>
  <si>
    <t>Беломоев А.Ю.</t>
  </si>
  <si>
    <t>ООО Стиль-авто</t>
  </si>
  <si>
    <t>провод Сип-2 3х95+1х95</t>
  </si>
  <si>
    <t>Линия электропередачи воздушная  Столярный и Березовый пер. (1500134)</t>
  </si>
  <si>
    <t>КЛ-6,0кВ в районе КЛ-6,0кВ в сторону ТП 208 Б.Торговщинская 15</t>
  </si>
  <si>
    <t>АО Оборонэнерго</t>
  </si>
  <si>
    <t>Бажанов С.М.</t>
  </si>
  <si>
    <t>ВЛ-0,4кВ ТП-184 по ул.Заречная,15а-22а</t>
  </si>
  <si>
    <t>5765001/ 5720001</t>
  </si>
  <si>
    <t>Царев В.В.(550,00) / Семенова О.Н.(550,00)</t>
  </si>
  <si>
    <t>КВЛ-0,4кВ ТП-48 до ул.Моторостроителей,12</t>
  </si>
  <si>
    <t>ООО Вертикаль</t>
  </si>
  <si>
    <t>ТП-109 ул.Нобелевская - ВЛ-0,4кв с ж.д.№1 по 14 п.Кирова (1400588)</t>
  </si>
  <si>
    <t>ООО Рыбинская генерация</t>
  </si>
  <si>
    <t>Пудовина Т.С.</t>
  </si>
  <si>
    <t>КЛ-0,4кВ ТП-111 до ул.Сурикова,1</t>
  </si>
  <si>
    <t>КЛ-0,4кВ ТП-111 до ул.Ошурковская,7в</t>
  </si>
  <si>
    <t>Мелентьев С.А.</t>
  </si>
  <si>
    <t>КЛ-0,4кВ ТП-391 до ГМ Спектр</t>
  </si>
  <si>
    <t>КЛ-0,4кВ ТП-549  до ул.Рокоссовского,18</t>
  </si>
  <si>
    <t>КЛ-0,4кВ ТП-358 до ул.Новоселов,26</t>
  </si>
  <si>
    <t>кабель АВБШв 4*185</t>
  </si>
  <si>
    <t>КТП ул.Александровская</t>
  </si>
  <si>
    <t>КВЛ-0,4кВ ТП-561 до границ з/у Шекснинское шоссе,13</t>
  </si>
  <si>
    <t>Лебедева С.Г.</t>
  </si>
  <si>
    <t>КВЛ-0,4кВ ТП-152 ул.Алябьева,53</t>
  </si>
  <si>
    <t>Базунов А.Л.</t>
  </si>
  <si>
    <t>КТП-132 ул.Новолосевская-Сигнальная - ВЛ-0,4кВ (1400116)</t>
  </si>
  <si>
    <t>Воробьева Ю.А.</t>
  </si>
  <si>
    <t>КЛ-0,4кВ ТП-23 до ул.Герцена,38</t>
  </si>
  <si>
    <t>Давыдов Ю.А.</t>
  </si>
  <si>
    <t>Воздушная линия ВЛ-0,4кВ ТП-411 ул.Садовая (1401033)</t>
  </si>
  <si>
    <t>Малахова Т.С.</t>
  </si>
  <si>
    <t>КВЛ-0,4кВ от ТП-352 до границ гараж.бокса №78 ГМ №4</t>
  </si>
  <si>
    <t>Разин С.И.</t>
  </si>
  <si>
    <t>Трансформатор ТМГ 400/0,4кВ №2111ЖГ1578 ТП-472</t>
  </si>
  <si>
    <t>ООО "Формика"</t>
  </si>
  <si>
    <t>Носырин М.А.</t>
  </si>
  <si>
    <t>провдо СИП-4 4х25</t>
  </si>
  <si>
    <t>КВЛ-0,4кВ ТП-75 до ул.Сельскохозяйственная,31</t>
  </si>
  <si>
    <t>Загребнев В.В.</t>
  </si>
  <si>
    <t>ВЛ-0,4кВ от опоры ВЛ-6кВ до гараж.бокса №945 ГМ "Автомобилист-8"</t>
  </si>
  <si>
    <t>Душин О.А.</t>
  </si>
  <si>
    <t>КВЛ-0,4кВ ТП-393 до ул.9 Мая,35а</t>
  </si>
  <si>
    <t>Карпунин А.Д.</t>
  </si>
  <si>
    <t xml:space="preserve">КЛ-0,4кВ ТП-48 до ул.Моторостроителей,10 </t>
  </si>
  <si>
    <t>кабель АВБШа 4х35</t>
  </si>
  <si>
    <t>КВЛ-0,4кВ от ТП-521 до з/у 106</t>
  </si>
  <si>
    <t>Власова Г.М.</t>
  </si>
  <si>
    <t xml:space="preserve">КВЛ-0,4кВ от ТП-330 до гараж.бокса №95 </t>
  </si>
  <si>
    <t>Голубков А.Ф.</t>
  </si>
  <si>
    <t>Соколов А.С.</t>
  </si>
  <si>
    <t>Каштанова М.В.</t>
  </si>
  <si>
    <t>ТП-115 ул.Костромская - ВЛ-0,4кВ (1400815)</t>
  </si>
  <si>
    <t>Воробьев А.А.</t>
  </si>
  <si>
    <t>Павлова О.В.</t>
  </si>
  <si>
    <t>Лебедев О.В.</t>
  </si>
  <si>
    <t>Линия электропередачи воздушная от ТП-31 до д.17,19 по ул.Моторостроителей (1500525)</t>
  </si>
  <si>
    <t>КЛ-0,4кВ от ТП-11 до границ ЗУ по ул.В.Набережная,22</t>
  </si>
  <si>
    <t>ООО "Автотехнология"</t>
  </si>
  <si>
    <t>КЛ-0,4кВ от ТП-374 до пр.Ленина,148в</t>
  </si>
  <si>
    <t>ООО "Олимп"</t>
  </si>
  <si>
    <t>ТП ул.М.Горького,58а</t>
  </si>
  <si>
    <t>КЛ-0,4кВ от ТП-34 до ул.Пушкина,42</t>
  </si>
  <si>
    <t>Черных Е.Н.</t>
  </si>
  <si>
    <t xml:space="preserve">ВЛ-0,4 кВ от опоры ВЛ-0,4 кВ ул. Баррикадная уч. 38 до ул. Баррикадной 29б </t>
  </si>
  <si>
    <t>Орлов Н.В.</t>
  </si>
  <si>
    <t xml:space="preserve">ВЛ-0,4кв ул. Череповецкая зем.уч. 29 до ул. Череповецкая 22 </t>
  </si>
  <si>
    <t>Качуренко Ю.А.</t>
  </si>
  <si>
    <t>ВЛЗ/КЛ-6,0 кВ от ТП 152, устан. нов. КТП 6/0,4 кВ Селиховское шоссе</t>
  </si>
  <si>
    <t>Макеев С.Н.</t>
  </si>
  <si>
    <t>ТП ул.В.Набережная,40б</t>
  </si>
  <si>
    <t>КЛ-0,4кВ от ВЛ-0,4кВ ул. Пятилетки 90а до Пятилетки 90</t>
  </si>
  <si>
    <t>Золотилов Л.С.</t>
  </si>
  <si>
    <t>КЛ-0,4кВ от ТП-2 до ул.Стоялой,4</t>
  </si>
  <si>
    <t>Ботерашвили И.М.</t>
  </si>
  <si>
    <t xml:space="preserve">КЛ-0,4кВ от ТП-335 до ул.9 Мая 25а </t>
  </si>
  <si>
    <t>ООО "Лидер"</t>
  </si>
  <si>
    <t xml:space="preserve">КЛ-0,4 кВ от ул. Колышкина,6 до Колышкина уч. 10 </t>
  </si>
  <si>
    <t>ООО "ГОСТ"</t>
  </si>
  <si>
    <t xml:space="preserve">КЛ-0,4кВ от уч. 2 Ак. Губкина до уч. 44 Волжская наб. </t>
  </si>
  <si>
    <t>ООО "Стройинвест"</t>
  </si>
  <si>
    <t xml:space="preserve">КЛ-0,4кВ от ТП-90 в сторону Ярославский тракт 102 </t>
  </si>
  <si>
    <t>Маркеленков О.Л.</t>
  </si>
  <si>
    <t xml:space="preserve">Трансформатор ТМГСЭЩ400/10-11 УХЛ1 6.00/0.40 Д/Ун зав.ном.103234 </t>
  </si>
  <si>
    <t>Ставка</t>
  </si>
  <si>
    <t>2.3.1.3.1</t>
  </si>
  <si>
    <t xml:space="preserve">кабель АВБШв 4*120        </t>
  </si>
  <si>
    <t>провод СИП-2 3х95+1х95              провод СИП-2 3х35+1х54,6</t>
  </si>
  <si>
    <t xml:space="preserve">провод СИП -4 2*16                       провод СИП -4 4*16                             провод СИП-2 3х35+1х50              </t>
  </si>
  <si>
    <t xml:space="preserve">провод СИП-2 3х70+1х70            </t>
  </si>
  <si>
    <t xml:space="preserve">провод Сип-2 3х95+1х95         </t>
  </si>
  <si>
    <t xml:space="preserve">  кабель АВБШв 4*150</t>
  </si>
  <si>
    <t xml:space="preserve">провод СИП -4 4*16                        </t>
  </si>
  <si>
    <t xml:space="preserve">кабель АВБШв 4х70                      </t>
  </si>
  <si>
    <t xml:space="preserve">кабель АВБШв 4х35                    </t>
  </si>
  <si>
    <t xml:space="preserve">провод СИП-4 4х25                          </t>
  </si>
  <si>
    <t>кабель АВБШв 4х35</t>
  </si>
  <si>
    <t xml:space="preserve">провод СИП -4 4*16                      </t>
  </si>
  <si>
    <t>провод СИП-2 3х35+1х54,6+1х16</t>
  </si>
  <si>
    <t xml:space="preserve">провод СИП-2 3х95+1х95       </t>
  </si>
  <si>
    <t xml:space="preserve">       провод СИП-4 4х50                    </t>
  </si>
  <si>
    <t xml:space="preserve">               кабель АВБШв 4*120</t>
  </si>
  <si>
    <t xml:space="preserve">провод СИП -4 4*16                         </t>
  </si>
  <si>
    <t xml:space="preserve">               кабель АВБШв 4х25</t>
  </si>
  <si>
    <t xml:space="preserve">кабель ААБл 10 3х120                   </t>
  </si>
  <si>
    <t>провод СИП-3 1х70</t>
  </si>
  <si>
    <t>3.1.1.2.3</t>
  </si>
  <si>
    <t xml:space="preserve">кабель АВБШв 4*150                    </t>
  </si>
  <si>
    <t>кабель АВБШВнг 4*150</t>
  </si>
  <si>
    <t xml:space="preserve">провод СИП-2 3х70+1х70           </t>
  </si>
  <si>
    <t xml:space="preserve">кабель АВБШв 4*120      </t>
  </si>
  <si>
    <t xml:space="preserve">провод СИП-2 3х70+1х70       </t>
  </si>
  <si>
    <t xml:space="preserve">провод СИП -4 4*16                 </t>
  </si>
  <si>
    <t xml:space="preserve"> провод СИП-2 3х50+1х54,6</t>
  </si>
  <si>
    <t xml:space="preserve">провод СИП-2 3х50+1х50     </t>
  </si>
  <si>
    <t xml:space="preserve">провод СИП-4 4х120           </t>
  </si>
  <si>
    <t xml:space="preserve">провод СИП-2 3х50+1х54,6      </t>
  </si>
  <si>
    <t>2.3.1.3.3</t>
  </si>
  <si>
    <t xml:space="preserve">провод СИП-2 3х50+1х54,6 б/у  </t>
  </si>
  <si>
    <t>провод СИП-2 3х70+1х54,6</t>
  </si>
  <si>
    <t xml:space="preserve">провод СИП-2 3х50+1х54,6          </t>
  </si>
  <si>
    <t xml:space="preserve"> кабель АВБШв 4х70                      </t>
  </si>
  <si>
    <t xml:space="preserve">   провод СИП-2 3х50+1х50</t>
  </si>
  <si>
    <t xml:space="preserve">кабель АВБШв 4*120                       </t>
  </si>
  <si>
    <t xml:space="preserve">кабель АВБШв 4х70                        </t>
  </si>
  <si>
    <t xml:space="preserve">кабель АСБл 10 3х120               </t>
  </si>
  <si>
    <t>кабель ААБл 10 3х95</t>
  </si>
  <si>
    <t xml:space="preserve">провод СИП-2 3х35+1х50               </t>
  </si>
  <si>
    <t>3.1.1.2.2</t>
  </si>
  <si>
    <t>5.1.1.4</t>
  </si>
  <si>
    <t>400кВА</t>
  </si>
  <si>
    <t>Фактические данные за 2021 г.</t>
  </si>
  <si>
    <t xml:space="preserve">Расчетные (фактические) данные за 2021 г. </t>
  </si>
  <si>
    <t>Плановые показатели на следующий период регулирования (2023 год)</t>
  </si>
  <si>
    <t>Расчетные (фактические) данные за 2021 г.</t>
  </si>
  <si>
    <t>Плановые показатели на 2023 г.</t>
  </si>
  <si>
    <t>2.3.1.3.3.</t>
  </si>
  <si>
    <t>строительство воздушных линий, на уровне напряжения 0,4-1кВ (СИП от 100 до 200мм)</t>
  </si>
  <si>
    <t>9.3.1.4.3.</t>
  </si>
  <si>
    <t>9.3.1.4.4.</t>
  </si>
  <si>
    <t>сумма (50%)</t>
  </si>
  <si>
    <t>Расшифровка выпадающих доходов на 2023 год</t>
  </si>
  <si>
    <t>Выпадающие по ТП до 15кВ (факт)</t>
  </si>
  <si>
    <t>Выпадающие по ТП до 150кВ (факт)</t>
  </si>
  <si>
    <t xml:space="preserve">Выпадающие по ТП от 15 до 150 кВ в связи с изменением приказа Федеральной службы по тарифам от 11 сентября 2012 г. N 209-э/1 "Об утверждении методических указаний по определению размера платы за технологическое присоединение к электрическим сетям" с 01.10.2017 г. </t>
  </si>
  <si>
    <t>было выделено в тарифе на 2021 год</t>
  </si>
  <si>
    <t>план на 2023 год</t>
  </si>
  <si>
    <t>Расшифровка "Избыток средств, полученный в предыдущем периоде регулирования"</t>
  </si>
  <si>
    <t>Корректировка ПО</t>
  </si>
  <si>
    <t>Корректировка ИП</t>
  </si>
  <si>
    <t>Проценты по займам, не учтенные в тарифе 2019 г.</t>
  </si>
  <si>
    <t>Корректировка ПР</t>
  </si>
  <si>
    <t>Корректировка НР</t>
  </si>
  <si>
    <t>Начальник  управления по  развитию и реализации услуг     _____________ А.П. Емельянова</t>
  </si>
  <si>
    <t>ТП-125 РУ-0,4кВ ф.2</t>
  </si>
  <si>
    <t>подключение</t>
  </si>
  <si>
    <t>подключение авг., Богомолов-апрель 2021-дог5673001 Дооб.Инв№1400814(Монтаж СИП Провод СИП-4 4х95 по сущ.опорам- 0,33км.), Грузков-май 2021-дог5673001 КВЛ-0,4кВ от ТП-114 до ул.Пошехонский тракт, д.2 (Кабель АВБШв 4*120 -0,052км)</t>
  </si>
  <si>
    <t>подключение-август, Богомолов-декабрь 2020-дог5560001 Дооборудование Инв.№1400893 (Монтаж опор ж.б.-4шт. , монтаж СИП Провод СИП-2 3х95+1х95-0,61км.)</t>
  </si>
  <si>
    <t>подключение-авг., Богомолов-декабрь 2021-дог4421002 ТП-180 ВЛ-0,4кВ, Богомолов-ноябрь 2021-дог4421002 ТП-180 ВЛ-0,4кВ, Богомолов-март 2021-дог4421002 ТП-180 ВЛ-0,4кВ, Богомолов-февраль 2021-дог4421002 ТП-180 ВЛ-0,4кВ (Монтаж опор ж.б. -18шт, Провод СИП-2 3х95+1х95 -0,51км., Провод СИП-2 3х35+1х50 -0,17км., Провод СИП -4 4*16 -0,04км.)</t>
  </si>
  <si>
    <t>подключение-нояб., Кудряшов-октябрь 2021-дог5785001 Дообор.№1400684 (монтаж опоры-2шт., Провод СИП-2 3х35+1х54,6+1х16 -0,07км..)</t>
  </si>
  <si>
    <t>подключение-декабрь, Грузков-февраль 2020-дог2851005 КЛ 0,4кВ ТП 338 до опоры ВЛ-0,4кВ в сторону ул.50 лет ВЛКСМ,45 (Кабель АВБШв 4*120 -0,06км.) ,Богомолов-январь 2020-дог2851005 ул.50 лет ВЛКСМ,45. Дооборудование Инв.№1400841 (Монтаж  СИП Провод СИП-2 3х70+1х70 -0,3км.-по существующей двойной подвес), Савко-январь 2020-дог2851005 ТП-338 РУ-0,4</t>
  </si>
  <si>
    <t>инв.номер ОС</t>
  </si>
  <si>
    <t>счетчик</t>
  </si>
  <si>
    <t>номер</t>
  </si>
  <si>
    <t>Электронная система учета эл.энергии АСКУЭ "Меркурий"</t>
  </si>
  <si>
    <t>Счетчик Меркурий 234-ART-03 RL1 3ф 5-10А</t>
  </si>
  <si>
    <t>№43984280</t>
  </si>
  <si>
    <t>Петухов С.В.</t>
  </si>
  <si>
    <t>Счетчик Меркурий 201,22</t>
  </si>
  <si>
    <t>№ 41415264</t>
  </si>
  <si>
    <t>№ 43984281</t>
  </si>
  <si>
    <t>Счетчик Меркурий 206 PLNO 1ф 5-60А 230В</t>
  </si>
  <si>
    <t>№ 43081748</t>
  </si>
  <si>
    <t>центр кадастровой оценки, рекламы</t>
  </si>
  <si>
    <t>Счетчик Милур 307.32Р-3-D ТСКЯ.411152.007-03.003</t>
  </si>
  <si>
    <t>№ 203070000271677</t>
  </si>
  <si>
    <t>Цимбалов С.И.</t>
  </si>
  <si>
    <t>Счетчик Меркурий 234-ART-01 ОR.L1 3ф 5-60А</t>
  </si>
  <si>
    <t>№ 43984272</t>
  </si>
  <si>
    <t>Гончаров В.В.</t>
  </si>
  <si>
    <t>№ 43963085</t>
  </si>
  <si>
    <t>Гайсенок С.Ю.</t>
  </si>
  <si>
    <t>Кунина Н.А.</t>
  </si>
  <si>
    <t>Мишнев И.В.</t>
  </si>
  <si>
    <t>Наумчук Н.В.</t>
  </si>
  <si>
    <t>Виноградова К.Н.</t>
  </si>
  <si>
    <t>Марусова А.Г.</t>
  </si>
  <si>
    <t>Филиппова О.С.</t>
  </si>
  <si>
    <t>Салтыкова Л.Ю.</t>
  </si>
  <si>
    <t>Тиханова Н.С.</t>
  </si>
  <si>
    <t>Козлов Д.А.</t>
  </si>
  <si>
    <t>Балабай С.В.</t>
  </si>
  <si>
    <t>Васильев В.А.</t>
  </si>
  <si>
    <t>Счетчик Меркурий 200.04 1ф</t>
  </si>
  <si>
    <t>№43906337</t>
  </si>
  <si>
    <t>Гурбов Д.В.</t>
  </si>
  <si>
    <t>Яичникова М.В.</t>
  </si>
  <si>
    <t>Ермилов С.В.</t>
  </si>
  <si>
    <t>Каландарова Е.В.</t>
  </si>
  <si>
    <t>Егоров В.В.</t>
  </si>
  <si>
    <t>Балин Д.С.</t>
  </si>
  <si>
    <t>Дмитриева М.В.</t>
  </si>
  <si>
    <t>Власова Е.Н.</t>
  </si>
  <si>
    <t>Зайцева И.Ю.</t>
  </si>
  <si>
    <t>Григорьева В.Н.</t>
  </si>
  <si>
    <t>Кузина Н.В.</t>
  </si>
  <si>
    <t>Барышникова М.А.</t>
  </si>
  <si>
    <t>Вершинина Ж.Д.</t>
  </si>
  <si>
    <t>Барулева Н.Н.</t>
  </si>
  <si>
    <t>Лобас Е.В.</t>
  </si>
  <si>
    <t>№ 211500130405707</t>
  </si>
  <si>
    <t>Якунин И.С.</t>
  </si>
  <si>
    <t>№ 211500130405703</t>
  </si>
  <si>
    <t>Невров А.Е.</t>
  </si>
  <si>
    <t>№43819499</t>
  </si>
  <si>
    <t>Зорин В.Л.</t>
  </si>
  <si>
    <t>№43906303</t>
  </si>
  <si>
    <t>№43884158</t>
  </si>
  <si>
    <t>Масленникова Г.А.</t>
  </si>
  <si>
    <t>№43602951</t>
  </si>
  <si>
    <t>Егорова Е.А.</t>
  </si>
  <si>
    <t>№43906291</t>
  </si>
  <si>
    <t>Дурасов С.В.</t>
  </si>
  <si>
    <t>№43906310</t>
  </si>
  <si>
    <t>Клетиков А.В.</t>
  </si>
  <si>
    <t>№43906334</t>
  </si>
  <si>
    <t>Клетиков Д.А.</t>
  </si>
  <si>
    <t>№43819505</t>
  </si>
  <si>
    <t>Иорданская И.Н.</t>
  </si>
  <si>
    <t>№43906290</t>
  </si>
  <si>
    <t>Рубцов М.А.</t>
  </si>
  <si>
    <t>№43906293</t>
  </si>
  <si>
    <t>Батарейный В.А.</t>
  </si>
  <si>
    <t>№43675938</t>
  </si>
  <si>
    <t>Румянцева Т.Г.</t>
  </si>
  <si>
    <t>№43602931</t>
  </si>
  <si>
    <t>Громов С.В.</t>
  </si>
  <si>
    <t>№43906287</t>
  </si>
  <si>
    <t>Масленников Н.Н.</t>
  </si>
  <si>
    <t>№43884109</t>
  </si>
  <si>
    <t>Писковцева Г.А.</t>
  </si>
  <si>
    <t>№43819415</t>
  </si>
  <si>
    <t>Масленников А.Н.</t>
  </si>
  <si>
    <t>№43819502</t>
  </si>
  <si>
    <t>Ефанова В.Б.</t>
  </si>
  <si>
    <t>№43906297</t>
  </si>
  <si>
    <t>Кулаков С.Е.</t>
  </si>
  <si>
    <t>№43884110</t>
  </si>
  <si>
    <t>Маслов Ю.Е.</t>
  </si>
  <si>
    <t>№43819521</t>
  </si>
  <si>
    <t>Мачулис Б.В.</t>
  </si>
  <si>
    <t>№43602518</t>
  </si>
  <si>
    <t>Хватова Т.К.</t>
  </si>
  <si>
    <t>№43906279</t>
  </si>
  <si>
    <t>Пятунина Н.В.</t>
  </si>
  <si>
    <t>№43906270</t>
  </si>
  <si>
    <t>Ушакова В.А.</t>
  </si>
  <si>
    <t>№43819732</t>
  </si>
  <si>
    <t>Окулов Р.Д.</t>
  </si>
  <si>
    <t>№43906275</t>
  </si>
  <si>
    <t>Клочкова Ю.Р.</t>
  </si>
  <si>
    <t>№43906366</t>
  </si>
  <si>
    <t>Соловьев А.В.</t>
  </si>
  <si>
    <t>№43884267</t>
  </si>
  <si>
    <t>Шибаев С.Ю.</t>
  </si>
  <si>
    <t>№43884138</t>
  </si>
  <si>
    <t>Комаров В.М.</t>
  </si>
  <si>
    <t>№43884123</t>
  </si>
  <si>
    <t>Комарова Л.Н.</t>
  </si>
  <si>
    <t>№43906397</t>
  </si>
  <si>
    <t>Холодкова В.А.</t>
  </si>
  <si>
    <t>№43602517</t>
  </si>
  <si>
    <t>Белогай Н.А.</t>
  </si>
  <si>
    <t xml:space="preserve"> №43906357</t>
  </si>
  <si>
    <t>Балясова И.А.</t>
  </si>
  <si>
    <t>№43884107</t>
  </si>
  <si>
    <t>Холодкова З.А.</t>
  </si>
  <si>
    <t>№43819406</t>
  </si>
  <si>
    <t>Матвеенко М.А.</t>
  </si>
  <si>
    <t>№43906331</t>
  </si>
  <si>
    <t>Кириллова Е.Н.</t>
  </si>
  <si>
    <t>№43906277</t>
  </si>
  <si>
    <t>Гурова А.М.</t>
  </si>
  <si>
    <t>№43884134</t>
  </si>
  <si>
    <t>Герасимов А.В.</t>
  </si>
  <si>
    <t>№43602639</t>
  </si>
  <si>
    <t>Горбункова М.В.</t>
  </si>
  <si>
    <t>№43819492</t>
  </si>
  <si>
    <t>Козлов А.Г.</t>
  </si>
  <si>
    <t>№43819392</t>
  </si>
  <si>
    <t>№ 43081669</t>
  </si>
  <si>
    <t>Марков А.А.</t>
  </si>
  <si>
    <t>№ 43954354</t>
  </si>
  <si>
    <t>Счетчик Меркурий 230-AR-02 CL</t>
  </si>
  <si>
    <t>№ 33656594</t>
  </si>
  <si>
    <t>№ 43984282</t>
  </si>
  <si>
    <t>№43958423</t>
  </si>
  <si>
    <t>Воскресенская Т.Г.</t>
  </si>
  <si>
    <t>Серова М.А.</t>
  </si>
  <si>
    <t>Бахвалов А.Н.</t>
  </si>
  <si>
    <t>Фомичева А.А.</t>
  </si>
  <si>
    <t>Сорокин А.А.</t>
  </si>
  <si>
    <t>Догадин А.В.</t>
  </si>
  <si>
    <t>Потапенко Т.А.</t>
  </si>
  <si>
    <t>Воробьева П.С.</t>
  </si>
  <si>
    <t>Лебедева В.В.</t>
  </si>
  <si>
    <t>ООО Русский Осевой Импеллер</t>
  </si>
  <si>
    <t xml:space="preserve">Счетчик Меркурий 234-ART-03 RL1 3ф 5-10А                                                  Счетчик Меркурий 234-ART-03 RL1 3ф 5-10А                        </t>
  </si>
  <si>
    <t xml:space="preserve">№ 43984284                                                                                                                                                                                           № 43984279                     </t>
  </si>
  <si>
    <t>№ 203070000271684</t>
  </si>
  <si>
    <t>Наумова Н.Ю.</t>
  </si>
  <si>
    <t>№ 203070000271672</t>
  </si>
  <si>
    <t>Чукаев А.Г.</t>
  </si>
  <si>
    <t>№ 42063598</t>
  </si>
  <si>
    <t>правозащ.организация инвалидов</t>
  </si>
  <si>
    <t>№ 42063599</t>
  </si>
  <si>
    <t>Счетчик Меркурий 230ART-03 CLN 3ф 5-7,5А</t>
  </si>
  <si>
    <t>№ 44124639</t>
  </si>
  <si>
    <t>№ 44124657</t>
  </si>
  <si>
    <t>№ 44124665</t>
  </si>
  <si>
    <t>Счетчик Милур 307.32RZ-2-D  (307)</t>
  </si>
  <si>
    <t>Тихомирова Е.А.</t>
  </si>
  <si>
    <t>Павлов Ф.О.</t>
  </si>
  <si>
    <t>гончарова Н.Ю.</t>
  </si>
  <si>
    <t>Зорина А.А.</t>
  </si>
  <si>
    <t>Максимова А.В.</t>
  </si>
  <si>
    <t>ПАО МТС</t>
  </si>
  <si>
    <t>№ 203070000271685</t>
  </si>
  <si>
    <t>№ 211500130405706</t>
  </si>
  <si>
    <t>Стешенко Л.Р.</t>
  </si>
  <si>
    <t>Счетчик Милур 307.52РZ-3-D ТСКЯ.411152.007-06.16</t>
  </si>
  <si>
    <t>№ 211500130405708</t>
  </si>
  <si>
    <t>№ 211500130405704</t>
  </si>
  <si>
    <t>№ 211500130405705</t>
  </si>
  <si>
    <t>Макарова Г.А.</t>
  </si>
  <si>
    <t>№ 44124642</t>
  </si>
  <si>
    <t>Управление сроительства адм.</t>
  </si>
  <si>
    <t xml:space="preserve">Счетчик Меркурий 230ART-02 CLN </t>
  </si>
  <si>
    <t>№43910267</t>
  </si>
  <si>
    <t>ИП Пятериков В.А.</t>
  </si>
  <si>
    <t>Счетчик Милур 107.22Z-3-D  (107)</t>
  </si>
  <si>
    <t>№ 2211100040422091</t>
  </si>
  <si>
    <t>№ 2211100040422090</t>
  </si>
  <si>
    <t>ООО Элитдизайн</t>
  </si>
  <si>
    <t>№ 203070000271794</t>
  </si>
  <si>
    <t>№ 203070000271773</t>
  </si>
  <si>
    <t>Рогатина О.В.</t>
  </si>
  <si>
    <t>Счетчик Милур 307.52Z-3-D (307)</t>
  </si>
  <si>
    <t>Счетчик Меркурий 234-ART-01 ОR.L1 3ф 5-60А                                                          Счетчик Меркурий 230ART-03 CLN 3ф 5-7,5А</t>
  </si>
  <si>
    <t>№ 42941172                      № 44124645,                      № 43643458</t>
  </si>
  <si>
    <t>№ 211500130406339</t>
  </si>
  <si>
    <t>№ 44124667</t>
  </si>
  <si>
    <t>№ 44124654</t>
  </si>
  <si>
    <t>№ 43984278</t>
  </si>
  <si>
    <t>№ 44124661</t>
  </si>
  <si>
    <t>Мосинцева О.М.</t>
  </si>
  <si>
    <t>Пучков В.К.</t>
  </si>
  <si>
    <t>Котов А.С.</t>
  </si>
  <si>
    <t>Полетаев С.А.</t>
  </si>
  <si>
    <t>Милов Д.Г.</t>
  </si>
  <si>
    <t>Голубев С.А.</t>
  </si>
  <si>
    <t>Спорышева Д.А.</t>
  </si>
  <si>
    <t>Турк И.М.</t>
  </si>
  <si>
    <t>Жильцов Е.В.</t>
  </si>
  <si>
    <t>Дмитриева Т.В.</t>
  </si>
  <si>
    <t>Малышева М.А.</t>
  </si>
  <si>
    <t>Ячменева Л.А.</t>
  </si>
  <si>
    <t>Ушакова М.А.</t>
  </si>
  <si>
    <t>Дерунова Н.В.</t>
  </si>
  <si>
    <t>Семенова Т.А.</t>
  </si>
  <si>
    <t>Давыдович А.А.</t>
  </si>
  <si>
    <t>Розанова И.В.</t>
  </si>
  <si>
    <t>ООО Стиль-Авто</t>
  </si>
  <si>
    <t>№ 211500130405702</t>
  </si>
  <si>
    <t>№ 211500130406281</t>
  </si>
  <si>
    <t>ПАО Мегафон</t>
  </si>
  <si>
    <t>№ 211500130406272</t>
  </si>
  <si>
    <t>№ 211500130406280</t>
  </si>
  <si>
    <t>Кленкова Н.Г.</t>
  </si>
  <si>
    <t>№ 43906372</t>
  </si>
  <si>
    <t>ООО Олимп</t>
  </si>
  <si>
    <t>Счетчик Меркурий 230ART-01 CLN 3ф 5-60А</t>
  </si>
  <si>
    <t>№44382791</t>
  </si>
  <si>
    <t>Удалова О.Н.</t>
  </si>
  <si>
    <t>№ 43687161</t>
  </si>
  <si>
    <t>ООО Добрые булки</t>
  </si>
  <si>
    <t>Счетчик Меркурий 230-ARТ-02-10-100А  CLN</t>
  </si>
  <si>
    <t>№ 40809926</t>
  </si>
  <si>
    <t>Бажечкина А.В.</t>
  </si>
  <si>
    <t>№ 43687119</t>
  </si>
  <si>
    <t>№ 43703364</t>
  </si>
  <si>
    <t>Акентьев Р.Ю.</t>
  </si>
  <si>
    <t>АО Почта России</t>
  </si>
  <si>
    <t>Кузьмин Е.М.</t>
  </si>
  <si>
    <t>Каландаров К.А.</t>
  </si>
  <si>
    <t>Надоян Г.С.</t>
  </si>
  <si>
    <t>Кучина А.П.</t>
  </si>
  <si>
    <t>Орлов А.А.</t>
  </si>
  <si>
    <t>Махмудов И.Н.</t>
  </si>
  <si>
    <t>Зиновьев К.С.</t>
  </si>
  <si>
    <t>Нижевясов А.В.</t>
  </si>
  <si>
    <t>Юрышева Л.Н.</t>
  </si>
  <si>
    <t>Мартынова И.В.</t>
  </si>
  <si>
    <t>Соколов А.А.</t>
  </si>
  <si>
    <t>Глазачева И.Е.</t>
  </si>
  <si>
    <t>Колесов А.В.</t>
  </si>
  <si>
    <t>Митченков Е.И.</t>
  </si>
  <si>
    <t>Чичерина Ю.В.</t>
  </si>
  <si>
    <t>Бокарева С.Д.</t>
  </si>
  <si>
    <t>Шлакова Е.А.</t>
  </si>
  <si>
    <t>Дудоров Д.Е.</t>
  </si>
  <si>
    <t>Фесенко Н.В.</t>
  </si>
  <si>
    <t>Лухнева Е.С.</t>
  </si>
  <si>
    <t>Медведева Л.М.</t>
  </si>
  <si>
    <t>Мальковский Н.А.</t>
  </si>
  <si>
    <t>Комлев А.Н.</t>
  </si>
  <si>
    <t>Полтавцев С.А.</t>
  </si>
  <si>
    <t>Мурашова Ю.А.</t>
  </si>
  <si>
    <t>Хабитов Д.М.</t>
  </si>
  <si>
    <t>Глибин В.В.</t>
  </si>
  <si>
    <t>Слепаков А.С.</t>
  </si>
  <si>
    <t>Комшина Н.Е.</t>
  </si>
  <si>
    <t>Башкинова Ю.В.</t>
  </si>
  <si>
    <t>Домщиков А.В.</t>
  </si>
  <si>
    <t>Голубев Ю.А.</t>
  </si>
  <si>
    <t>Соколов Ф.С.</t>
  </si>
  <si>
    <t>Шаркунова И.С.</t>
  </si>
  <si>
    <t>Басова Е.В.</t>
  </si>
  <si>
    <t>Борисов М.С.</t>
  </si>
  <si>
    <t>Красавин И.В.</t>
  </si>
  <si>
    <t>Зайцева Ю.Н.</t>
  </si>
  <si>
    <t>Матавкин А.В.</t>
  </si>
  <si>
    <t>Саватеева М.И.</t>
  </si>
  <si>
    <t>Лазарева Л.И.</t>
  </si>
  <si>
    <t>Шипинская С.Н.</t>
  </si>
  <si>
    <t>Денисова В.И.</t>
  </si>
  <si>
    <t>Колобков Д.В.</t>
  </si>
  <si>
    <t>Тимохина Н.В.</t>
  </si>
  <si>
    <t>Кошмак Е.Н.</t>
  </si>
  <si>
    <t>Скворцова Т.Ю.</t>
  </si>
  <si>
    <t>Махолина Е.В.</t>
  </si>
  <si>
    <t>Ропотов А.Н.</t>
  </si>
  <si>
    <t>Ковалев Е.С.</t>
  </si>
  <si>
    <t>Зимарев Р.Е.</t>
  </si>
  <si>
    <t>Чекменев А.А.</t>
  </si>
  <si>
    <t>Стрелкова Н.Г.</t>
  </si>
  <si>
    <t>Пичугина С.В.</t>
  </si>
  <si>
    <t>Рыбакова В.В.</t>
  </si>
  <si>
    <t>Гамаюнов А.А.</t>
  </si>
  <si>
    <t>ООО Русичи</t>
  </si>
  <si>
    <t>ОКЦ МУК</t>
  </si>
  <si>
    <t>№ 43865941</t>
  </si>
  <si>
    <t>№ 44274496</t>
  </si>
  <si>
    <t>№ 43643277</t>
  </si>
  <si>
    <t>Герасимов Д.С.</t>
  </si>
  <si>
    <t>№ 43703365</t>
  </si>
  <si>
    <t>Ахмеров Т.И.</t>
  </si>
  <si>
    <t>№ 44164366</t>
  </si>
  <si>
    <t>№ 44164358</t>
  </si>
  <si>
    <t>Шитиков А.С.</t>
  </si>
  <si>
    <t>№ 43620594</t>
  </si>
  <si>
    <t>ООО Формика</t>
  </si>
  <si>
    <t>№ 44382786</t>
  </si>
  <si>
    <t>№ 44387929</t>
  </si>
  <si>
    <t>ЗАО Любимый город</t>
  </si>
  <si>
    <t>№ 44416504</t>
  </si>
  <si>
    <t>№ 44382777</t>
  </si>
  <si>
    <t>№ 44228616</t>
  </si>
  <si>
    <t>Матвеев А.Г.</t>
  </si>
  <si>
    <t>Царев В.В.</t>
  </si>
  <si>
    <t>Орлов О.В.</t>
  </si>
  <si>
    <t>Демина Л.А.</t>
  </si>
  <si>
    <t>Феофанов Е.Ю.</t>
  </si>
  <si>
    <t>Блохин И.В.</t>
  </si>
  <si>
    <t>Зверев Г.М.</t>
  </si>
  <si>
    <t>№ 44164352</t>
  </si>
  <si>
    <t>ИП Коколов В.В.</t>
  </si>
  <si>
    <t>Счетчик Меркурий 230ART-02 CLN</t>
  </si>
  <si>
    <t>№ 44418179</t>
  </si>
  <si>
    <t>Гордеев В.В.</t>
  </si>
  <si>
    <t>№ 44387943</t>
  </si>
  <si>
    <t>Хлынин Д.С.</t>
  </si>
  <si>
    <t>№ 44750702</t>
  </si>
  <si>
    <t>№ 43687287</t>
  </si>
  <si>
    <t>ИП Загребнев В.В.</t>
  </si>
  <si>
    <t>№ 211500130406275</t>
  </si>
  <si>
    <t>Болнокина Е.С.</t>
  </si>
  <si>
    <t>Челышев Е.В.</t>
  </si>
  <si>
    <t>Строгалова С.В.</t>
  </si>
  <si>
    <t>Зайцев В.В.</t>
  </si>
  <si>
    <t>Шухалова Ю.В.</t>
  </si>
  <si>
    <t>Никифоров Д.С.</t>
  </si>
  <si>
    <t>Румянцев Д.В.</t>
  </si>
  <si>
    <t>Колкунович В.С.</t>
  </si>
  <si>
    <t>Блинов И.А.</t>
  </si>
  <si>
    <t>Труба Р.В.</t>
  </si>
  <si>
    <t>Федоров С.А.</t>
  </si>
  <si>
    <t>Брызгалов С.А.</t>
  </si>
  <si>
    <t>Малярчикова Е.А.</t>
  </si>
  <si>
    <t>Гущина О.А.</t>
  </si>
  <si>
    <t>Ляпунова Г.Ф.</t>
  </si>
  <si>
    <t>№211100130406701</t>
  </si>
  <si>
    <t>Шевардин М.А.</t>
  </si>
  <si>
    <t>№43910264</t>
  </si>
  <si>
    <t>Маслов П.Е.</t>
  </si>
  <si>
    <t>№ 42941172</t>
  </si>
  <si>
    <t>Томилов А.В.</t>
  </si>
  <si>
    <t>№ 44164349</t>
  </si>
  <si>
    <t>ООО "Галант"</t>
  </si>
  <si>
    <t>Счетчик Меркурий 234-ART-02 RL1</t>
  </si>
  <si>
    <t xml:space="preserve">  № 43993214</t>
  </si>
  <si>
    <t>№ 211500130405700</t>
  </si>
  <si>
    <t>Счетчик Милур 307.52Z-3-D (307</t>
  </si>
  <si>
    <t>№ 211500130406553</t>
  </si>
  <si>
    <t>№ 44164365</t>
  </si>
  <si>
    <t>ООО Верхневолжский электрокабельный завод</t>
  </si>
  <si>
    <t>ЗАО Лизхолд</t>
  </si>
  <si>
    <t>№ 45502308</t>
  </si>
  <si>
    <t>ИП Давыдов Ю.А.</t>
  </si>
  <si>
    <t>№ 44334524</t>
  </si>
  <si>
    <t>ООО ЦТО</t>
  </si>
  <si>
    <t>№ 45481111</t>
  </si>
  <si>
    <t>ООО Вектор</t>
  </si>
  <si>
    <t>№ 45291259</t>
  </si>
  <si>
    <t>№211500130406284</t>
  </si>
  <si>
    <t>Хабибов С.Н.</t>
  </si>
  <si>
    <t>Анисимов А.А.</t>
  </si>
  <si>
    <t>Голованов А.Е.</t>
  </si>
  <si>
    <t>Маньков Н.В.</t>
  </si>
  <si>
    <t>Ледник А.П.</t>
  </si>
  <si>
    <t>Барышев А.В.</t>
  </si>
  <si>
    <t>Смирнова А.В.</t>
  </si>
  <si>
    <t>Мыскина Н.И.</t>
  </si>
  <si>
    <t>Медовикова О.Е.</t>
  </si>
  <si>
    <t>Разумова Н.В.</t>
  </si>
  <si>
    <t>Ронжина М.Е.</t>
  </si>
  <si>
    <t>Мистрюков Д.А.</t>
  </si>
  <si>
    <t>Кочешков Д.В.</t>
  </si>
  <si>
    <t>Гуренко Н.Г.</t>
  </si>
  <si>
    <t>Степанов С.М.</t>
  </si>
  <si>
    <t>Счетчик Меркурий 230-ARТ-02  CLN</t>
  </si>
  <si>
    <t>№ 44113907</t>
  </si>
  <si>
    <t>Павлов С.Ю.</t>
  </si>
  <si>
    <t>счетчик Меркурий 230ART-02 CLN</t>
  </si>
  <si>
    <t>Новикова В.О.</t>
  </si>
  <si>
    <t>ООО "Вертикаль"</t>
  </si>
  <si>
    <t>Выборнов О.В.</t>
  </si>
  <si>
    <t>Егоров М.Ю.</t>
  </si>
  <si>
    <t>Смолянинов О.Н.</t>
  </si>
  <si>
    <t>Цветкова О.И.</t>
  </si>
  <si>
    <t>Бердов Д.И.</t>
  </si>
  <si>
    <t>Рыбалкин А.А.</t>
  </si>
  <si>
    <t>№ 211500130406282</t>
  </si>
  <si>
    <t>Труфанова Л.В.</t>
  </si>
  <si>
    <t>Счетчик Милур 107.22Р-3-D ТСКЯ.411152.006-03.007</t>
  </si>
  <si>
    <t>№ 211100040421973</t>
  </si>
  <si>
    <t>№ 45480936</t>
  </si>
  <si>
    <t>Зернов В.С.</t>
  </si>
  <si>
    <t>№ 45485688</t>
  </si>
  <si>
    <t>ИП Чукаев А.Г.</t>
  </si>
  <si>
    <t>№ 43820460</t>
  </si>
  <si>
    <t>Арефьев А.Ю.</t>
  </si>
  <si>
    <t>№ 43603054</t>
  </si>
  <si>
    <t xml:space="preserve"> </t>
  </si>
  <si>
    <t>3.1.1.1.1</t>
  </si>
  <si>
    <t>Мощность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</si>
</sst>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41" formatCode="_-* #,##0_-;\-* #,##0_-;_-* &quot;-&quot;_-;_-@_-"/>
    <numFmt numFmtId="43" formatCode="_-* #,##0.00_-;\-* #,##0.00_-;_-* &quot;-&quot;??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0.0%_);\(0.0%\)"/>
    <numFmt numFmtId="169" formatCode="#,##0_);[Red]\(#,##0\)"/>
    <numFmt numFmtId="170" formatCode="_-* #,##0.00[$€-1]_-;\-* #,##0.00[$€-1]_-;_-* &quot;-&quot;??[$€-1]_-"/>
    <numFmt numFmtId="171" formatCode="[Magenta]\ &quot;Ошибка&quot;;[Magenta]\ &quot;Ошибка&quot;;[Blue]\ &quot;OK&quot;"/>
    <numFmt numFmtId="172" formatCode="###\ ##\ ##"/>
    <numFmt numFmtId="173" formatCode="0_);\(0\)"/>
    <numFmt numFmtId="174" formatCode="General_)"/>
    <numFmt numFmtId="175" formatCode="_-* #,##0&quot;đ.&quot;_-;\-* #,##0&quot;đ.&quot;_-;_-* &quot;-&quot;&quot;đ.&quot;_-;_-@_-"/>
    <numFmt numFmtId="176" formatCode="_-* #,##0.00&quot;đ.&quot;_-;\-* #,##0.00&quot;đ.&quot;_-;_-* &quot;-&quot;??&quot;đ.&quot;_-;_-@_-"/>
    <numFmt numFmtId="177" formatCode="_(* #,##0_);_(* \(#,##0\);_(* &quot;-&quot;??_);_(@_)"/>
    <numFmt numFmtId="178" formatCode="&quot;$&quot;#,##0_);[Red]\(&quot;$&quot;#,##0\)"/>
    <numFmt numFmtId="179" formatCode="_-&quot;Ј&quot;* #,##0_-;\-&quot;Ј&quot;* #,##0_-;_-&quot;Ј&quot;* &quot;-&quot;_-;_-@_-"/>
    <numFmt numFmtId="180" formatCode="_-&quot;Ј&quot;* #,##0.00_-;\-&quot;Ј&quot;* #,##0.00_-;_-&quot;Ј&quot;* &quot;-&quot;??_-;_-@_-"/>
    <numFmt numFmtId="181" formatCode="\$#,##0\ ;\(\$#,##0\)"/>
    <numFmt numFmtId="182" formatCode="_(* #,##0_);_(* \(#,##0\);_(* &quot;-&quot;_);_(@_)"/>
    <numFmt numFmtId="183" formatCode="#,##0_);[Blue]\(#,##0\)"/>
    <numFmt numFmtId="184" formatCode="_-* #,##0_đ_._-;\-* #,##0_đ_._-;_-* &quot;-&quot;_đ_._-;_-@_-"/>
    <numFmt numFmtId="185" formatCode="_-* #,##0.00_đ_._-;\-* #,##0.00_đ_._-;_-* &quot;-&quot;??_đ_._-;_-@_-"/>
    <numFmt numFmtId="186" formatCode="_(* #,##0.000_);_(* \(#,##0.000\);_(* &quot;-&quot;???_);_(@_)"/>
    <numFmt numFmtId="187" formatCode="_-* #,##0.00&quot;р.&quot;_-;\-* #,##0.00&quot;р.&quot;_-;_-* \-??&quot;р.&quot;_-;_-@_-"/>
    <numFmt numFmtId="188" formatCode="_-* #,##0.00&quot;$&quot;_-;\-* #,##0.00&quot;$&quot;_-;_-* &quot;-&quot;??&quot;$&quot;_-;_-@_-"/>
    <numFmt numFmtId="189" formatCode="0.0"/>
    <numFmt numFmtId="190" formatCode="_-* #,##0\ _р_._-;\-* #,##0\ _р_._-;_-* &quot;-&quot;\ _р_._-;_-@_-"/>
    <numFmt numFmtId="191" formatCode="_-* #,##0.00\ _р_._-;\-* #,##0.00\ _р_._-;_-* &quot;-&quot;??\ _р_._-;_-@_-"/>
    <numFmt numFmtId="192" formatCode="_(* #,##0.00_);_(* \(#,##0.00\);_(* &quot;-&quot;??_);_(@_)"/>
    <numFmt numFmtId="193" formatCode="_-* #,##0.00_р_._-;\-* #,##0.00_р_._-;_-* \-??_р_._-;_-@_-"/>
    <numFmt numFmtId="194" formatCode="#,##0.0"/>
    <numFmt numFmtId="195" formatCode="#,##0.000"/>
    <numFmt numFmtId="196" formatCode="0.000"/>
    <numFmt numFmtId="197" formatCode="[$-419]mmmm\ yyyy;@"/>
    <numFmt numFmtId="198" formatCode="000000"/>
  </numFmts>
  <fonts count="16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rgb="FF106BBE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Helv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0"/>
      <color indexed="9"/>
      <name val="Arial Cyr"/>
      <family val="2"/>
      <charset val="204"/>
    </font>
    <font>
      <b/>
      <sz val="1"/>
      <color indexed="8"/>
      <name val="Courier"/>
      <family val="1"/>
      <charset val="204"/>
    </font>
    <font>
      <b/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8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color indexed="12"/>
      <name val="Arial"/>
      <family val="2"/>
      <charset val="204"/>
    </font>
    <font>
      <sz val="11"/>
      <name val="Arial"/>
      <family val="2"/>
      <charset val="204"/>
    </font>
    <font>
      <u/>
      <sz val="10"/>
      <color indexed="12"/>
      <name val="Courier"/>
      <family val="1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b/>
      <sz val="10"/>
      <name val="Arial"/>
      <family val="2"/>
    </font>
    <font>
      <sz val="11"/>
      <color indexed="16"/>
      <name val="Calibri"/>
      <family val="2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1"/>
      <color indexed="9"/>
      <name val="Calibri"/>
      <family val="2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NTHarmonica"/>
      <charset val="204"/>
    </font>
    <font>
      <sz val="10"/>
      <color indexed="8"/>
      <name val="Arial"/>
      <family val="2"/>
      <charset val="204"/>
    </font>
    <font>
      <sz val="8"/>
      <name val="Arial Cyr"/>
      <charset val="204"/>
    </font>
    <font>
      <sz val="10"/>
      <color indexed="8"/>
      <name val="Arial Cyr"/>
      <family val="2"/>
      <charset val="204"/>
    </font>
    <font>
      <u/>
      <sz val="8"/>
      <color indexed="12"/>
      <name val="Arial Cyr"/>
      <charset val="204"/>
    </font>
    <font>
      <b/>
      <sz val="11"/>
      <color indexed="8"/>
      <name val="Calibri"/>
      <family val="2"/>
    </font>
    <font>
      <sz val="14"/>
      <name val="Times New Roman"/>
      <family val="1"/>
      <charset val="204"/>
    </font>
    <font>
      <b/>
      <sz val="14"/>
      <name val="Arial Cyr"/>
      <family val="2"/>
      <charset val="204"/>
    </font>
    <font>
      <sz val="11"/>
      <color indexed="17"/>
      <name val="Calibri"/>
      <family val="2"/>
    </font>
    <font>
      <b/>
      <sz val="10"/>
      <color indexed="18"/>
      <name val="Arial Cyr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62"/>
      <name val="Calibri"/>
      <family val="2"/>
    </font>
    <font>
      <b/>
      <sz val="8"/>
      <name val="Arial Cyr"/>
      <charset val="204"/>
    </font>
    <font>
      <sz val="10"/>
      <name val="Courier"/>
      <family val="1"/>
      <charset val="204"/>
    </font>
    <font>
      <u/>
      <sz val="10"/>
      <color indexed="36"/>
      <name val="Courier"/>
      <family val="1"/>
      <charset val="204"/>
    </font>
    <font>
      <u/>
      <sz val="10"/>
      <color indexed="36"/>
      <name val="Courier"/>
      <family val="3"/>
    </font>
    <font>
      <sz val="11"/>
      <color indexed="48"/>
      <name val="Calibri"/>
      <family val="2"/>
    </font>
    <font>
      <sz val="8"/>
      <color indexed="9"/>
      <name val="MS Sans Serif"/>
      <family val="2"/>
      <charset val="204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name val="Arial Cyr"/>
      <family val="2"/>
      <charset val="204"/>
    </font>
    <font>
      <sz val="10"/>
      <color theme="1"/>
      <name val="Arial"/>
      <family val="2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8"/>
      <name val="Helv"/>
      <charset val="204"/>
    </font>
    <font>
      <b/>
      <sz val="10"/>
      <color indexed="63"/>
      <name val="Arial Cyr"/>
      <family val="2"/>
      <charset val="204"/>
    </font>
    <font>
      <b/>
      <sz val="11"/>
      <color indexed="63"/>
      <name val="Calibri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sz val="8"/>
      <name val="Helv"/>
    </font>
    <font>
      <b/>
      <i/>
      <sz val="10"/>
      <name val="Arial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sz val="10"/>
      <color indexed="62"/>
      <name val="Arial Cyr"/>
      <family val="2"/>
      <charset val="204"/>
    </font>
    <font>
      <b/>
      <sz val="12"/>
      <color indexed="8"/>
      <name val="Arial"/>
      <family val="2"/>
      <charset val="204"/>
    </font>
    <font>
      <b/>
      <sz val="8"/>
      <name val="Arial"/>
      <family val="2"/>
    </font>
    <font>
      <sz val="19"/>
      <color indexed="4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8"/>
      <name val="Arial"/>
      <family val="2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9"/>
      <color indexed="20"/>
      <name val="Arial"/>
      <family val="2"/>
    </font>
    <font>
      <b/>
      <sz val="18"/>
      <color indexed="62"/>
      <name val="Cambria"/>
      <family val="2"/>
    </font>
    <font>
      <b/>
      <sz val="8"/>
      <color indexed="9"/>
      <name val="Arial Cyr"/>
      <charset val="204"/>
    </font>
    <font>
      <i/>
      <sz val="10"/>
      <name val="Arial"/>
      <family val="2"/>
      <charset val="204"/>
    </font>
    <font>
      <b/>
      <i/>
      <sz val="10"/>
      <color indexed="9"/>
      <name val="Arial"/>
      <family val="2"/>
      <charset val="204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Times New Roman"/>
      <family val="1"/>
      <charset val="204"/>
    </font>
    <font>
      <b/>
      <sz val="10"/>
      <color indexed="52"/>
      <name val="Arial Cyr"/>
      <family val="2"/>
      <charset val="204"/>
    </font>
    <font>
      <sz val="11"/>
      <color indexed="62"/>
      <name val="Calibri"/>
      <family val="2"/>
      <charset val="204"/>
    </font>
    <font>
      <sz val="10"/>
      <color indexed="1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53"/>
      <name val="Calibri"/>
      <family val="2"/>
    </font>
    <font>
      <u/>
      <sz val="7.5"/>
      <color indexed="12"/>
      <name val="Arial"/>
      <family val="2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3"/>
      <color indexed="62"/>
      <name val="Calibri"/>
      <family val="2"/>
    </font>
    <font>
      <sz val="10"/>
      <color indexed="10"/>
      <name val="Times New Roman"/>
      <family val="1"/>
      <charset val="204"/>
    </font>
    <font>
      <b/>
      <sz val="11"/>
      <color indexed="56"/>
      <name val="Calibri"/>
      <family val="2"/>
      <charset val="204"/>
    </font>
    <font>
      <b/>
      <sz val="13"/>
      <color indexed="56"/>
      <name val="Arial Cyr"/>
      <family val="2"/>
      <charset val="204"/>
    </font>
    <font>
      <b/>
      <sz val="9"/>
      <name val="Tahoma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9"/>
      <name val="Tahoma"/>
      <family val="2"/>
      <charset val="204"/>
    </font>
    <font>
      <b/>
      <sz val="10"/>
      <color indexed="9"/>
      <name val="Arial Cyr"/>
      <family val="2"/>
      <charset val="204"/>
    </font>
    <font>
      <sz val="10"/>
      <color indexed="60"/>
      <name val="Arial Cyr"/>
      <family val="2"/>
      <charset val="204"/>
    </font>
    <font>
      <b/>
      <sz val="9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0"/>
      <color indexed="23"/>
      <name val="Arial Cyr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color indexed="20"/>
      <name val="Arial Cyr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theme="3"/>
      <name val="Cambria"/>
      <family val="2"/>
      <scheme val="major"/>
    </font>
    <font>
      <sz val="11"/>
      <color indexed="60"/>
      <name val="Calibri"/>
      <family val="2"/>
      <charset val="204"/>
    </font>
    <font>
      <b/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sz val="8"/>
      <color rgb="FF0000FF"/>
      <name val="Times New Roman Cyr"/>
      <family val="1"/>
      <charset val="204"/>
    </font>
    <font>
      <sz val="10"/>
      <color theme="1"/>
      <name val="Arial Cyr"/>
      <family val="2"/>
      <charset val="204"/>
    </font>
    <font>
      <sz val="1"/>
      <name val="Arial Cyr"/>
    </font>
    <font>
      <sz val="11"/>
      <color indexed="20"/>
      <name val="Calibri"/>
      <family val="2"/>
      <charset val="204"/>
    </font>
    <font>
      <sz val="11"/>
      <name val="Times New Roman Cyr"/>
      <family val="1"/>
      <charset val="204"/>
    </font>
    <font>
      <i/>
      <sz val="11"/>
      <color indexed="23"/>
      <name val="Calibri"/>
      <family val="2"/>
      <charset val="204"/>
    </font>
    <font>
      <i/>
      <sz val="10"/>
      <color rgb="FF7F7F7F"/>
      <name val="Arial"/>
      <family val="2"/>
    </font>
    <font>
      <sz val="11"/>
      <color indexed="52"/>
      <name val="Calibri"/>
      <family val="2"/>
      <charset val="204"/>
    </font>
    <font>
      <sz val="12"/>
      <color indexed="24"/>
      <name val="Arial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0"/>
      <color indexed="12"/>
      <name val="Arial Cyr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rgb="FF106BBE"/>
      <name val="Times New Roman"/>
      <family val="1"/>
      <charset val="204"/>
    </font>
    <font>
      <sz val="16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24"/>
      <name val="Arial"/>
      <family val="2"/>
      <charset val="204"/>
    </font>
    <font>
      <sz val="9"/>
      <name val="Arial"/>
      <family val="2"/>
      <charset val="204"/>
    </font>
    <font>
      <sz val="9"/>
      <color indexed="10"/>
      <name val="Arial"/>
      <family val="2"/>
      <charset val="204"/>
    </font>
    <font>
      <b/>
      <sz val="10"/>
      <color indexed="24"/>
      <name val="Arial"/>
      <family val="2"/>
      <charset val="204"/>
    </font>
    <font>
      <b/>
      <sz val="10"/>
      <name val="Arial Cyr"/>
      <charset val="204"/>
    </font>
  </fonts>
  <fills count="1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22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0"/>
        <bgColor indexed="21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49"/>
      </patternFill>
    </fill>
    <fill>
      <patternFill patternType="solid">
        <fgColor indexed="49"/>
        <bgColor indexed="40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65"/>
        <bgColor indexed="8"/>
      </patternFill>
    </fill>
    <fill>
      <patternFill patternType="solid">
        <fgColor indexed="41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3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23"/>
        <bgColor indexed="64"/>
      </patternFill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60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6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2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51"/>
      </left>
      <right style="thin">
        <color indexed="51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thin">
        <color indexed="26"/>
      </left>
      <right/>
      <top/>
      <bottom style="thin">
        <color indexed="26"/>
      </bottom>
      <diagonal/>
    </border>
    <border>
      <left/>
      <right style="thin">
        <color indexed="26"/>
      </right>
      <top/>
      <bottom style="thin">
        <color indexed="26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/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6"/>
      </left>
      <right/>
      <top style="thin">
        <color indexed="26"/>
      </top>
      <bottom style="thin">
        <color indexed="26"/>
      </bottom>
      <diagonal/>
    </border>
    <border>
      <left/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231">
    <xf numFmtId="0" fontId="0" fillId="0" borderId="0"/>
    <xf numFmtId="167" fontId="25" fillId="0" borderId="0">
      <alignment vertical="top"/>
    </xf>
    <xf numFmtId="167" fontId="26" fillId="0" borderId="0">
      <alignment vertical="top"/>
    </xf>
    <xf numFmtId="168" fontId="26" fillId="22" borderId="0">
      <alignment vertical="top"/>
    </xf>
    <xf numFmtId="167" fontId="26" fillId="23" borderId="0">
      <alignment vertical="top"/>
    </xf>
    <xf numFmtId="167" fontId="27" fillId="23" borderId="0">
      <alignment vertical="top"/>
    </xf>
    <xf numFmtId="0" fontId="28" fillId="0" borderId="0"/>
    <xf numFmtId="169" fontId="25" fillId="0" borderId="0">
      <alignment vertical="top"/>
    </xf>
    <xf numFmtId="169" fontId="25" fillId="0" borderId="0">
      <alignment vertical="top"/>
    </xf>
    <xf numFmtId="38" fontId="29" fillId="0" borderId="0">
      <alignment vertical="top"/>
    </xf>
    <xf numFmtId="170" fontId="30" fillId="24" borderId="17" applyNumberFormat="0" applyFont="0">
      <alignment shrinkToFit="1"/>
      <protection locked="0"/>
    </xf>
    <xf numFmtId="0" fontId="31" fillId="0" borderId="0"/>
    <xf numFmtId="0" fontId="28" fillId="0" borderId="0"/>
    <xf numFmtId="0" fontId="30" fillId="0" borderId="0"/>
    <xf numFmtId="170" fontId="30" fillId="0" borderId="0"/>
    <xf numFmtId="170" fontId="30" fillId="0" borderId="0"/>
    <xf numFmtId="0" fontId="30" fillId="0" borderId="0"/>
    <xf numFmtId="170" fontId="30" fillId="0" borderId="0"/>
    <xf numFmtId="170" fontId="30" fillId="0" borderId="0"/>
    <xf numFmtId="169" fontId="25" fillId="0" borderId="0">
      <alignment vertical="top"/>
    </xf>
    <xf numFmtId="0" fontId="28" fillId="0" borderId="0"/>
    <xf numFmtId="0" fontId="28" fillId="0" borderId="0"/>
    <xf numFmtId="0" fontId="31" fillId="0" borderId="0"/>
    <xf numFmtId="169" fontId="25" fillId="0" borderId="0">
      <alignment vertical="top"/>
    </xf>
    <xf numFmtId="0" fontId="31" fillId="0" borderId="0"/>
    <xf numFmtId="0" fontId="31" fillId="0" borderId="0"/>
    <xf numFmtId="0" fontId="31" fillId="0" borderId="0"/>
    <xf numFmtId="169" fontId="25" fillId="0" borderId="0">
      <alignment vertical="top"/>
    </xf>
    <xf numFmtId="169" fontId="25" fillId="0" borderId="0">
      <alignment vertical="top"/>
    </xf>
    <xf numFmtId="0" fontId="31" fillId="0" borderId="0"/>
    <xf numFmtId="0" fontId="28" fillId="0" borderId="0"/>
    <xf numFmtId="0" fontId="28" fillId="0" borderId="0"/>
    <xf numFmtId="0" fontId="31" fillId="0" borderId="0"/>
    <xf numFmtId="0" fontId="28" fillId="0" borderId="0"/>
    <xf numFmtId="0" fontId="28" fillId="0" borderId="0"/>
    <xf numFmtId="171" fontId="30" fillId="25" borderId="0" applyFont="0" applyBorder="0">
      <alignment horizontal="center" vertical="center" shrinkToFit="1"/>
    </xf>
    <xf numFmtId="165" fontId="32" fillId="0" borderId="0">
      <protection locked="0"/>
    </xf>
    <xf numFmtId="165" fontId="33" fillId="0" borderId="0">
      <protection locked="0"/>
    </xf>
    <xf numFmtId="165" fontId="32" fillId="0" borderId="0">
      <protection locked="0"/>
    </xf>
    <xf numFmtId="165" fontId="33" fillId="0" borderId="0">
      <protection locked="0"/>
    </xf>
    <xf numFmtId="165" fontId="32" fillId="0" borderId="0">
      <protection locked="0"/>
    </xf>
    <xf numFmtId="165" fontId="33" fillId="0" borderId="0">
      <protection locked="0"/>
    </xf>
    <xf numFmtId="0" fontId="34" fillId="0" borderId="0">
      <protection locked="0"/>
    </xf>
    <xf numFmtId="170" fontId="35" fillId="0" borderId="0">
      <protection locked="0"/>
    </xf>
    <xf numFmtId="0" fontId="34" fillId="0" borderId="0">
      <protection locked="0"/>
    </xf>
    <xf numFmtId="170" fontId="35" fillId="0" borderId="0">
      <protection locked="0"/>
    </xf>
    <xf numFmtId="0" fontId="32" fillId="0" borderId="18">
      <protection locked="0"/>
    </xf>
    <xf numFmtId="170" fontId="33" fillId="0" borderId="18">
      <protection locked="0"/>
    </xf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70" fontId="29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70" fontId="29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70" fontId="29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70" fontId="29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70" fontId="37" fillId="27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17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1" fillId="9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1" fillId="9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1" fillId="9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1" fillId="9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1" fillId="9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36" fillId="26" borderId="0" applyNumberFormat="0" applyBorder="0" applyAlignment="0" applyProtection="0"/>
    <xf numFmtId="0" fontId="1" fillId="9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170" fontId="29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170" fontId="29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170" fontId="29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170" fontId="29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170" fontId="37" fillId="29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17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" fillId="11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" fillId="11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" fillId="11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" fillId="11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" fillId="11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36" fillId="28" borderId="0" applyNumberFormat="0" applyBorder="0" applyAlignment="0" applyProtection="0"/>
    <xf numFmtId="0" fontId="1" fillId="11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170" fontId="29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170" fontId="29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170" fontId="29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170" fontId="29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170" fontId="37" fillId="31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17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1" fillId="13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1" fillId="13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1" fillId="13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1" fillId="13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1" fillId="13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36" fillId="30" borderId="0" applyNumberFormat="0" applyBorder="0" applyAlignment="0" applyProtection="0"/>
    <xf numFmtId="0" fontId="1" fillId="13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29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29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29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29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37" fillId="33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5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5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5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5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5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5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170" fontId="29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170" fontId="29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170" fontId="29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170" fontId="29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170" fontId="37" fillId="35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17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17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17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17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17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17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1" fillId="1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170" fontId="29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170" fontId="29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170" fontId="29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170" fontId="29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170" fontId="37" fillId="3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17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19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19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19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19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19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1" fillId="19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29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29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29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29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37" fillId="39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0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0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0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0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0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170" fontId="29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170" fontId="29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170" fontId="29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170" fontId="29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170" fontId="37" fillId="41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17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12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12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12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12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12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36" fillId="40" borderId="0" applyNumberFormat="0" applyBorder="0" applyAlignment="0" applyProtection="0"/>
    <xf numFmtId="0" fontId="1" fillId="1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170" fontId="29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170" fontId="29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170" fontId="29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170" fontId="29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170" fontId="37" fillId="4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17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14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14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14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14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14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1" fillId="14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29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29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29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29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37" fillId="33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17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6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6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6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6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6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36" fillId="32" borderId="0" applyNumberFormat="0" applyBorder="0" applyAlignment="0" applyProtection="0"/>
    <xf numFmtId="0" fontId="1" fillId="16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29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29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29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29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37" fillId="39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17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1" fillId="18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170" fontId="29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170" fontId="29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170" fontId="29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170" fontId="29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17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17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2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2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2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2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20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1" fillId="20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170" fontId="29" fillId="46" borderId="0" applyNumberFormat="0" applyBorder="0" applyAlignment="0" applyProtection="0"/>
    <xf numFmtId="0" fontId="38" fillId="46" borderId="0" applyNumberFormat="0" applyBorder="0" applyAlignment="0" applyProtection="0"/>
    <xf numFmtId="170" fontId="29" fillId="46" borderId="0" applyNumberFormat="0" applyBorder="0" applyAlignment="0" applyProtection="0"/>
    <xf numFmtId="0" fontId="38" fillId="46" borderId="0" applyNumberFormat="0" applyBorder="0" applyAlignment="0" applyProtection="0"/>
    <xf numFmtId="170" fontId="29" fillId="46" borderId="0" applyNumberFormat="0" applyBorder="0" applyAlignment="0" applyProtection="0"/>
    <xf numFmtId="0" fontId="38" fillId="46" borderId="0" applyNumberFormat="0" applyBorder="0" applyAlignment="0" applyProtection="0"/>
    <xf numFmtId="170" fontId="29" fillId="46" borderId="0" applyNumberFormat="0" applyBorder="0" applyAlignment="0" applyProtection="0"/>
    <xf numFmtId="0" fontId="38" fillId="46" borderId="0" applyNumberFormat="0" applyBorder="0" applyAlignment="0" applyProtection="0"/>
    <xf numFmtId="170" fontId="29" fillId="47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17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6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170" fontId="29" fillId="40" borderId="0" applyNumberFormat="0" applyBorder="0" applyAlignment="0" applyProtection="0"/>
    <xf numFmtId="0" fontId="38" fillId="40" borderId="0" applyNumberFormat="0" applyBorder="0" applyAlignment="0" applyProtection="0"/>
    <xf numFmtId="170" fontId="29" fillId="40" borderId="0" applyNumberFormat="0" applyBorder="0" applyAlignment="0" applyProtection="0"/>
    <xf numFmtId="0" fontId="38" fillId="40" borderId="0" applyNumberFormat="0" applyBorder="0" applyAlignment="0" applyProtection="0"/>
    <xf numFmtId="170" fontId="29" fillId="40" borderId="0" applyNumberFormat="0" applyBorder="0" applyAlignment="0" applyProtection="0"/>
    <xf numFmtId="0" fontId="38" fillId="40" borderId="0" applyNumberFormat="0" applyBorder="0" applyAlignment="0" applyProtection="0"/>
    <xf numFmtId="170" fontId="29" fillId="40" borderId="0" applyNumberFormat="0" applyBorder="0" applyAlignment="0" applyProtection="0"/>
    <xf numFmtId="0" fontId="38" fillId="40" borderId="0" applyNumberFormat="0" applyBorder="0" applyAlignment="0" applyProtection="0"/>
    <xf numFmtId="170" fontId="29" fillId="41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17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170" fontId="29" fillId="42" borderId="0" applyNumberFormat="0" applyBorder="0" applyAlignment="0" applyProtection="0"/>
    <xf numFmtId="0" fontId="38" fillId="42" borderId="0" applyNumberFormat="0" applyBorder="0" applyAlignment="0" applyProtection="0"/>
    <xf numFmtId="170" fontId="29" fillId="42" borderId="0" applyNumberFormat="0" applyBorder="0" applyAlignment="0" applyProtection="0"/>
    <xf numFmtId="0" fontId="38" fillId="42" borderId="0" applyNumberFormat="0" applyBorder="0" applyAlignment="0" applyProtection="0"/>
    <xf numFmtId="170" fontId="29" fillId="42" borderId="0" applyNumberFormat="0" applyBorder="0" applyAlignment="0" applyProtection="0"/>
    <xf numFmtId="0" fontId="38" fillId="42" borderId="0" applyNumberFormat="0" applyBorder="0" applyAlignment="0" applyProtection="0"/>
    <xf numFmtId="170" fontId="29" fillId="42" borderId="0" applyNumberFormat="0" applyBorder="0" applyAlignment="0" applyProtection="0"/>
    <xf numFmtId="0" fontId="38" fillId="42" borderId="0" applyNumberFormat="0" applyBorder="0" applyAlignment="0" applyProtection="0"/>
    <xf numFmtId="170" fontId="29" fillId="4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17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9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17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1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17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170" fontId="29" fillId="52" borderId="0" applyNumberFormat="0" applyBorder="0" applyAlignment="0" applyProtection="0"/>
    <xf numFmtId="0" fontId="38" fillId="52" borderId="0" applyNumberFormat="0" applyBorder="0" applyAlignment="0" applyProtection="0"/>
    <xf numFmtId="170" fontId="29" fillId="52" borderId="0" applyNumberFormat="0" applyBorder="0" applyAlignment="0" applyProtection="0"/>
    <xf numFmtId="0" fontId="38" fillId="52" borderId="0" applyNumberFormat="0" applyBorder="0" applyAlignment="0" applyProtection="0"/>
    <xf numFmtId="170" fontId="29" fillId="52" borderId="0" applyNumberFormat="0" applyBorder="0" applyAlignment="0" applyProtection="0"/>
    <xf numFmtId="0" fontId="38" fillId="52" borderId="0" applyNumberFormat="0" applyBorder="0" applyAlignment="0" applyProtection="0"/>
    <xf numFmtId="170" fontId="29" fillId="52" borderId="0" applyNumberFormat="0" applyBorder="0" applyAlignment="0" applyProtection="0"/>
    <xf numFmtId="0" fontId="38" fillId="52" borderId="0" applyNumberFormat="0" applyBorder="0" applyAlignment="0" applyProtection="0"/>
    <xf numFmtId="170" fontId="29" fillId="53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17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8" fillId="52" borderId="0" applyNumberFormat="0" applyBorder="0" applyAlignment="0" applyProtection="0"/>
    <xf numFmtId="0" fontId="39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37" borderId="0" applyNumberFormat="0" applyBorder="0" applyAlignment="0" applyProtection="0"/>
    <xf numFmtId="0" fontId="39" fillId="58" borderId="0" applyNumberFormat="0" applyBorder="0" applyAlignment="0" applyProtection="0"/>
    <xf numFmtId="0" fontId="39" fillId="59" borderId="0" applyNumberFormat="0" applyBorder="0" applyAlignment="0" applyProtection="0"/>
    <xf numFmtId="0" fontId="39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2" borderId="0" applyNumberFormat="0" applyBorder="0" applyAlignment="0" applyProtection="0"/>
    <xf numFmtId="0" fontId="40" fillId="63" borderId="0" applyNumberFormat="0" applyBorder="0" applyAlignment="0" applyProtection="0"/>
    <xf numFmtId="0" fontId="40" fillId="64" borderId="0" applyNumberFormat="0" applyBorder="0" applyAlignment="0" applyProtection="0"/>
    <xf numFmtId="0" fontId="39" fillId="65" borderId="0" applyNumberFormat="0" applyBorder="0" applyAlignment="0" applyProtection="0"/>
    <xf numFmtId="0" fontId="39" fillId="63" borderId="0" applyNumberFormat="0" applyBorder="0" applyAlignment="0" applyProtection="0"/>
    <xf numFmtId="0" fontId="39" fillId="65" borderId="0" applyNumberFormat="0" applyBorder="0" applyAlignment="0" applyProtection="0"/>
    <xf numFmtId="0" fontId="40" fillId="66" borderId="0" applyNumberFormat="0" applyBorder="0" applyAlignment="0" applyProtection="0"/>
    <xf numFmtId="0" fontId="40" fillId="67" borderId="0" applyNumberFormat="0" applyBorder="0" applyAlignment="0" applyProtection="0"/>
    <xf numFmtId="0" fontId="40" fillId="64" borderId="0" applyNumberFormat="0" applyBorder="0" applyAlignment="0" applyProtection="0"/>
    <xf numFmtId="0" fontId="40" fillId="68" borderId="0" applyNumberFormat="0" applyBorder="0" applyAlignment="0" applyProtection="0"/>
    <xf numFmtId="0" fontId="39" fillId="37" borderId="0" applyNumberFormat="0" applyBorder="0" applyAlignment="0" applyProtection="0"/>
    <xf numFmtId="0" fontId="39" fillId="69" borderId="0" applyNumberFormat="0" applyBorder="0" applyAlignment="0" applyProtection="0"/>
    <xf numFmtId="0" fontId="39" fillId="70" borderId="0" applyNumberFormat="0" applyBorder="0" applyAlignment="0" applyProtection="0"/>
    <xf numFmtId="0" fontId="40" fillId="64" borderId="0" applyNumberFormat="0" applyBorder="0" applyAlignment="0" applyProtection="0"/>
    <xf numFmtId="0" fontId="40" fillId="62" borderId="0" applyNumberFormat="0" applyBorder="0" applyAlignment="0" applyProtection="0"/>
    <xf numFmtId="0" fontId="40" fillId="37" borderId="0" applyNumberFormat="0" applyBorder="0" applyAlignment="0" applyProtection="0"/>
    <xf numFmtId="0" fontId="40" fillId="65" borderId="0" applyNumberFormat="0" applyBorder="0" applyAlignment="0" applyProtection="0"/>
    <xf numFmtId="0" fontId="39" fillId="37" borderId="0" applyNumberFormat="0" applyBorder="0" applyAlignment="0" applyProtection="0"/>
    <xf numFmtId="0" fontId="39" fillId="64" borderId="0" applyNumberFormat="0" applyBorder="0" applyAlignment="0" applyProtection="0"/>
    <xf numFmtId="0" fontId="39" fillId="71" borderId="0" applyNumberFormat="0" applyBorder="0" applyAlignment="0" applyProtection="0"/>
    <xf numFmtId="0" fontId="40" fillId="55" borderId="0" applyNumberFormat="0" applyBorder="0" applyAlignment="0" applyProtection="0"/>
    <xf numFmtId="0" fontId="40" fillId="66" borderId="0" applyNumberFormat="0" applyBorder="0" applyAlignment="0" applyProtection="0"/>
    <xf numFmtId="0" fontId="40" fillId="57" borderId="0" applyNumberFormat="0" applyBorder="0" applyAlignment="0" applyProtection="0"/>
    <xf numFmtId="0" fontId="39" fillId="57" borderId="0" applyNumberFormat="0" applyBorder="0" applyAlignment="0" applyProtection="0"/>
    <xf numFmtId="0" fontId="39" fillId="59" borderId="0" applyNumberFormat="0" applyBorder="0" applyAlignment="0" applyProtection="0"/>
    <xf numFmtId="0" fontId="39" fillId="72" borderId="0" applyNumberFormat="0" applyBorder="0" applyAlignment="0" applyProtection="0"/>
    <xf numFmtId="0" fontId="40" fillId="73" borderId="0" applyNumberFormat="0" applyBorder="0" applyAlignment="0" applyProtection="0"/>
    <xf numFmtId="0" fontId="40" fillId="63" borderId="0" applyNumberFormat="0" applyBorder="0" applyAlignment="0" applyProtection="0"/>
    <xf numFmtId="0" fontId="40" fillId="74" borderId="0" applyNumberFormat="0" applyBorder="0" applyAlignment="0" applyProtection="0"/>
    <xf numFmtId="0" fontId="39" fillId="74" borderId="0" applyNumberFormat="0" applyBorder="0" applyAlignment="0" applyProtection="0"/>
    <xf numFmtId="0" fontId="39" fillId="75" borderId="0" applyNumberFormat="0" applyBorder="0" applyAlignment="0" applyProtection="0"/>
    <xf numFmtId="172" fontId="41" fillId="76" borderId="0">
      <alignment horizontal="center" vertical="center"/>
    </xf>
    <xf numFmtId="173" fontId="42" fillId="0" borderId="19" applyFont="0" applyFill="0">
      <alignment horizontal="right" vertical="center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174" fontId="45" fillId="0" borderId="20">
      <protection locked="0"/>
    </xf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3" fontId="42" fillId="0" borderId="0" applyFont="0" applyBorder="0" applyProtection="0">
      <alignment vertical="center"/>
    </xf>
    <xf numFmtId="172" fontId="30" fillId="0" borderId="0" applyNumberFormat="0" applyFont="0" applyAlignment="0">
      <alignment horizontal="center" vertical="center"/>
    </xf>
    <xf numFmtId="39" fontId="46" fillId="22" borderId="0" applyNumberFormat="0" applyBorder="0">
      <alignment vertical="center"/>
    </xf>
    <xf numFmtId="0" fontId="47" fillId="63" borderId="0" applyNumberFormat="0" applyBorder="0" applyAlignment="0" applyProtection="0"/>
    <xf numFmtId="0" fontId="45" fillId="0" borderId="0">
      <alignment horizontal="left"/>
    </xf>
    <xf numFmtId="177" fontId="48" fillId="77" borderId="15">
      <alignment vertical="center"/>
    </xf>
    <xf numFmtId="177" fontId="48" fillId="78" borderId="15">
      <alignment vertical="center"/>
    </xf>
    <xf numFmtId="37" fontId="49" fillId="79" borderId="15">
      <alignment horizontal="center" vertical="center"/>
    </xf>
    <xf numFmtId="0" fontId="50" fillId="65" borderId="21" applyNumberFormat="0" applyAlignment="0" applyProtection="0"/>
    <xf numFmtId="41" fontId="30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3" fontId="51" fillId="0" borderId="0" applyFont="0" applyFill="0" applyBorder="0" applyAlignment="0" applyProtection="0"/>
    <xf numFmtId="174" fontId="52" fillId="80" borderId="20"/>
    <xf numFmtId="178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178" fontId="5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81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4" fontId="54" fillId="0" borderId="0" applyFont="0" applyBorder="0">
      <alignment vertical="top"/>
    </xf>
    <xf numFmtId="14" fontId="55" fillId="0" borderId="0" applyFont="0" applyBorder="0">
      <alignment vertical="top"/>
    </xf>
    <xf numFmtId="14" fontId="56" fillId="0" borderId="0">
      <alignment vertical="top"/>
    </xf>
    <xf numFmtId="14" fontId="57" fillId="0" borderId="0">
      <alignment vertical="top"/>
    </xf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58" fillId="0" borderId="0">
      <alignment vertical="top"/>
    </xf>
    <xf numFmtId="38" fontId="29" fillId="0" borderId="0">
      <alignment vertical="top"/>
    </xf>
    <xf numFmtId="0" fontId="59" fillId="81" borderId="0" applyNumberFormat="0" applyBorder="0" applyAlignment="0" applyProtection="0"/>
    <xf numFmtId="0" fontId="59" fillId="82" borderId="0" applyNumberFormat="0" applyBorder="0" applyAlignment="0" applyProtection="0"/>
    <xf numFmtId="0" fontId="59" fillId="83" borderId="0" applyNumberFormat="0" applyBorder="0" applyAlignment="0" applyProtection="0"/>
    <xf numFmtId="0" fontId="59" fillId="84" borderId="0" applyNumberFormat="0" applyBorder="0" applyAlignment="0" applyProtection="0"/>
    <xf numFmtId="0" fontId="59" fillId="85" borderId="0" applyNumberFormat="0" applyBorder="0" applyAlignment="0" applyProtection="0"/>
    <xf numFmtId="170" fontId="60" fillId="0" borderId="0" applyFont="0" applyFill="0" applyBorder="0" applyAlignment="0" applyProtection="0"/>
    <xf numFmtId="170" fontId="61" fillId="0" borderId="0" applyFont="0" applyFill="0" applyBorder="0" applyAlignment="0" applyProtection="0"/>
    <xf numFmtId="0" fontId="4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2" fontId="51" fillId="0" borderId="0" applyFont="0" applyFill="0" applyBorder="0" applyAlignment="0" applyProtection="0"/>
    <xf numFmtId="0" fontId="30" fillId="0" borderId="0" applyNumberFormat="0" applyFont="0">
      <alignment wrapText="1"/>
    </xf>
    <xf numFmtId="182" fontId="45" fillId="86" borderId="15" applyBorder="0">
      <alignment horizontal="center" vertical="center"/>
    </xf>
    <xf numFmtId="0" fontId="62" fillId="87" borderId="0" applyNumberFormat="0" applyBorder="0" applyAlignment="0" applyProtection="0"/>
    <xf numFmtId="0" fontId="63" fillId="0" borderId="0">
      <alignment vertical="top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22" applyNumberFormat="0" applyFill="0" applyAlignment="0" applyProtection="0"/>
    <xf numFmtId="0" fontId="66" fillId="0" borderId="0" applyNumberFormat="0" applyFill="0" applyBorder="0" applyAlignment="0" applyProtection="0"/>
    <xf numFmtId="170" fontId="29" fillId="0" borderId="0">
      <alignment vertical="top"/>
    </xf>
    <xf numFmtId="169" fontId="67" fillId="0" borderId="0">
      <alignment vertical="top"/>
    </xf>
    <xf numFmtId="38" fontId="29" fillId="0" borderId="0">
      <alignment vertical="top"/>
    </xf>
    <xf numFmtId="0" fontId="46" fillId="88" borderId="15">
      <alignment horizontal="center" vertical="center" wrapText="1"/>
      <protection locked="0"/>
    </xf>
    <xf numFmtId="174" fontId="68" fillId="0" borderId="0"/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1" fillId="74" borderId="23" applyNumberFormat="0" applyAlignment="0" applyProtection="0"/>
    <xf numFmtId="169" fontId="26" fillId="0" borderId="0">
      <alignment vertical="top"/>
    </xf>
    <xf numFmtId="169" fontId="26" fillId="22" borderId="0">
      <alignment vertical="top"/>
    </xf>
    <xf numFmtId="183" fontId="26" fillId="23" borderId="0">
      <alignment vertical="top"/>
    </xf>
    <xf numFmtId="177" fontId="30" fillId="89" borderId="15">
      <alignment vertical="center"/>
    </xf>
    <xf numFmtId="172" fontId="72" fillId="90" borderId="24" applyBorder="0" applyAlignment="0">
      <alignment horizontal="left" indent="1"/>
    </xf>
    <xf numFmtId="0" fontId="73" fillId="0" borderId="25" applyNumberFormat="0" applyFill="0" applyAlignment="0" applyProtection="0"/>
    <xf numFmtId="0" fontId="74" fillId="74" borderId="0" applyNumberFormat="0" applyBorder="0" applyAlignment="0" applyProtection="0"/>
    <xf numFmtId="0" fontId="75" fillId="22" borderId="15" applyFont="0" applyBorder="0" applyAlignment="0">
      <alignment horizontal="center" vertical="center"/>
    </xf>
    <xf numFmtId="170" fontId="76" fillId="0" borderId="0"/>
    <xf numFmtId="170" fontId="76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6" fillId="0" borderId="0"/>
    <xf numFmtId="170" fontId="36" fillId="0" borderId="0"/>
    <xf numFmtId="170" fontId="30" fillId="0" borderId="0"/>
    <xf numFmtId="170" fontId="30" fillId="0" borderId="0"/>
    <xf numFmtId="170" fontId="77" fillId="0" borderId="0"/>
    <xf numFmtId="170" fontId="29" fillId="0" borderId="0"/>
    <xf numFmtId="170" fontId="78" fillId="0" borderId="0"/>
    <xf numFmtId="0" fontId="29" fillId="0" borderId="0"/>
    <xf numFmtId="0" fontId="79" fillId="0" borderId="0"/>
    <xf numFmtId="170" fontId="80" fillId="0" borderId="0"/>
    <xf numFmtId="0" fontId="28" fillId="0" borderId="0"/>
    <xf numFmtId="0" fontId="30" fillId="73" borderId="26" applyNumberFormat="0" applyFont="0" applyAlignment="0" applyProtection="0"/>
    <xf numFmtId="170" fontId="29" fillId="91" borderId="26" applyNumberFormat="0" applyFont="0" applyAlignment="0" applyProtection="0"/>
    <xf numFmtId="170" fontId="29" fillId="91" borderId="26" applyNumberFormat="0" applyFont="0" applyAlignment="0" applyProtection="0"/>
    <xf numFmtId="170" fontId="29" fillId="91" borderId="26" applyNumberFormat="0" applyFont="0" applyAlignment="0" applyProtection="0"/>
    <xf numFmtId="170" fontId="29" fillId="91" borderId="26" applyNumberFormat="0" applyFont="0" applyAlignment="0" applyProtection="0"/>
    <xf numFmtId="0" fontId="29" fillId="91" borderId="26" applyNumberFormat="0" applyFont="0" applyAlignment="0" applyProtection="0"/>
    <xf numFmtId="170" fontId="29" fillId="91" borderId="26" applyNumberFormat="0" applyFont="0" applyAlignment="0" applyProtection="0"/>
    <xf numFmtId="170" fontId="29" fillId="91" borderId="26" applyNumberFormat="0" applyFont="0" applyAlignment="0" applyProtection="0"/>
    <xf numFmtId="170" fontId="29" fillId="91" borderId="26" applyNumberFormat="0" applyFont="0" applyAlignment="0" applyProtection="0"/>
    <xf numFmtId="170" fontId="29" fillId="91" borderId="26" applyNumberFormat="0" applyFont="0" applyAlignment="0" applyProtection="0"/>
    <xf numFmtId="184" fontId="29" fillId="0" borderId="0" applyFont="0" applyFill="0" applyBorder="0" applyAlignment="0" applyProtection="0"/>
    <xf numFmtId="185" fontId="29" fillId="0" borderId="0" applyFont="0" applyFill="0" applyBorder="0" applyAlignment="0" applyProtection="0"/>
    <xf numFmtId="0" fontId="81" fillId="92" borderId="27" applyNumberFormat="0" applyAlignment="0" applyProtection="0"/>
    <xf numFmtId="0" fontId="82" fillId="22" borderId="0">
      <alignment vertical="center"/>
    </xf>
    <xf numFmtId="9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78" fillId="0" borderId="0" applyFont="0" applyFill="0" applyBorder="0" applyAlignment="0" applyProtection="0"/>
    <xf numFmtId="0" fontId="84" fillId="0" borderId="0" applyNumberFormat="0">
      <alignment horizontal="left"/>
    </xf>
    <xf numFmtId="177" fontId="85" fillId="89" borderId="15">
      <alignment horizontal="center" vertical="center" wrapText="1"/>
      <protection locked="0"/>
    </xf>
    <xf numFmtId="0" fontId="30" fillId="0" borderId="0">
      <alignment vertical="center"/>
    </xf>
    <xf numFmtId="4" fontId="86" fillId="93" borderId="28" applyNumberFormat="0" applyProtection="0">
      <alignment vertical="center"/>
    </xf>
    <xf numFmtId="4" fontId="86" fillId="93" borderId="28" applyNumberFormat="0" applyProtection="0">
      <alignment vertical="center"/>
    </xf>
    <xf numFmtId="4" fontId="29" fillId="24" borderId="27" applyNumberFormat="0" applyProtection="0">
      <alignment vertical="center"/>
    </xf>
    <xf numFmtId="4" fontId="86" fillId="93" borderId="28" applyNumberFormat="0" applyProtection="0">
      <alignment vertical="center"/>
    </xf>
    <xf numFmtId="4" fontId="29" fillId="24" borderId="27" applyNumberFormat="0" applyProtection="0">
      <alignment vertical="center"/>
    </xf>
    <xf numFmtId="4" fontId="83" fillId="24" borderId="27" applyNumberFormat="0" applyProtection="0">
      <alignment vertical="center"/>
    </xf>
    <xf numFmtId="4" fontId="87" fillId="93" borderId="28" applyNumberFormat="0" applyProtection="0">
      <alignment vertical="center"/>
    </xf>
    <xf numFmtId="4" fontId="87" fillId="93" borderId="28" applyNumberFormat="0" applyProtection="0">
      <alignment vertical="center"/>
    </xf>
    <xf numFmtId="4" fontId="29" fillId="24" borderId="27" applyNumberFormat="0" applyProtection="0">
      <alignment vertical="center"/>
    </xf>
    <xf numFmtId="4" fontId="87" fillId="93" borderId="28" applyNumberFormat="0" applyProtection="0">
      <alignment vertical="center"/>
    </xf>
    <xf numFmtId="4" fontId="29" fillId="24" borderId="27" applyNumberFormat="0" applyProtection="0">
      <alignment vertical="center"/>
    </xf>
    <xf numFmtId="4" fontId="88" fillId="24" borderId="27" applyNumberFormat="0" applyProtection="0">
      <alignment vertical="center"/>
    </xf>
    <xf numFmtId="4" fontId="86" fillId="93" borderId="28" applyNumberFormat="0" applyProtection="0">
      <alignment horizontal="left" vertical="center" indent="1"/>
    </xf>
    <xf numFmtId="4" fontId="86" fillId="93" borderId="28" applyNumberFormat="0" applyProtection="0">
      <alignment horizontal="left" vertical="center" indent="1"/>
    </xf>
    <xf numFmtId="4" fontId="29" fillId="24" borderId="27" applyNumberFormat="0" applyProtection="0">
      <alignment horizontal="left" vertical="center" indent="1"/>
    </xf>
    <xf numFmtId="4" fontId="86" fillId="93" borderId="28" applyNumberFormat="0" applyProtection="0">
      <alignment horizontal="left" vertical="center" indent="1"/>
    </xf>
    <xf numFmtId="4" fontId="29" fillId="24" borderId="27" applyNumberFormat="0" applyProtection="0">
      <alignment horizontal="left" vertical="center" indent="1"/>
    </xf>
    <xf numFmtId="4" fontId="83" fillId="24" borderId="27" applyNumberFormat="0" applyProtection="0">
      <alignment horizontal="left" vertical="center" indent="1"/>
    </xf>
    <xf numFmtId="0" fontId="86" fillId="93" borderId="28" applyNumberFormat="0" applyProtection="0">
      <alignment horizontal="left" vertical="top" indent="1"/>
    </xf>
    <xf numFmtId="0" fontId="86" fillId="93" borderId="28" applyNumberFormat="0" applyProtection="0">
      <alignment horizontal="left" vertical="top" indent="1"/>
    </xf>
    <xf numFmtId="4" fontId="29" fillId="24" borderId="27" applyNumberFormat="0" applyProtection="0">
      <alignment horizontal="left" vertical="center" indent="1"/>
    </xf>
    <xf numFmtId="0" fontId="86" fillId="93" borderId="28" applyNumberFormat="0" applyProtection="0">
      <alignment horizontal="left" vertical="top" indent="1"/>
    </xf>
    <xf numFmtId="4" fontId="29" fillId="24" borderId="27" applyNumberFormat="0" applyProtection="0">
      <alignment horizontal="left" vertical="center" indent="1"/>
    </xf>
    <xf numFmtId="4" fontId="83" fillId="24" borderId="27" applyNumberFormat="0" applyProtection="0">
      <alignment horizontal="left" vertical="center" indent="1"/>
    </xf>
    <xf numFmtId="4" fontId="86" fillId="94" borderId="0" applyNumberFormat="0" applyProtection="0">
      <alignment horizontal="left" vertical="center" indent="1"/>
    </xf>
    <xf numFmtId="170" fontId="89" fillId="95" borderId="27" applyNumberFormat="0" applyProtection="0">
      <alignment horizontal="left" vertical="center" indent="1"/>
    </xf>
    <xf numFmtId="170" fontId="89" fillId="95" borderId="27" applyNumberFormat="0" applyProtection="0">
      <alignment horizontal="left" vertical="center" indent="1"/>
    </xf>
    <xf numFmtId="0" fontId="30" fillId="95" borderId="27" applyNumberFormat="0" applyProtection="0">
      <alignment horizontal="left" vertical="center" indent="1"/>
    </xf>
    <xf numFmtId="4" fontId="83" fillId="28" borderId="28" applyNumberFormat="0" applyProtection="0">
      <alignment horizontal="right" vertical="center"/>
    </xf>
    <xf numFmtId="4" fontId="83" fillId="28" borderId="28" applyNumberFormat="0" applyProtection="0">
      <alignment horizontal="right" vertical="center"/>
    </xf>
    <xf numFmtId="4" fontId="29" fillId="96" borderId="27" applyNumberFormat="0" applyProtection="0">
      <alignment horizontal="right" vertical="center"/>
    </xf>
    <xf numFmtId="4" fontId="83" fillId="28" borderId="28" applyNumberFormat="0" applyProtection="0">
      <alignment horizontal="right" vertical="center"/>
    </xf>
    <xf numFmtId="4" fontId="29" fillId="96" borderId="27" applyNumberFormat="0" applyProtection="0">
      <alignment horizontal="right" vertical="center"/>
    </xf>
    <xf numFmtId="4" fontId="83" fillId="96" borderId="27" applyNumberFormat="0" applyProtection="0">
      <alignment horizontal="right" vertical="center"/>
    </xf>
    <xf numFmtId="4" fontId="83" fillId="40" borderId="28" applyNumberFormat="0" applyProtection="0">
      <alignment horizontal="right" vertical="center"/>
    </xf>
    <xf numFmtId="4" fontId="83" fillId="40" borderId="28" applyNumberFormat="0" applyProtection="0">
      <alignment horizontal="right" vertical="center"/>
    </xf>
    <xf numFmtId="4" fontId="29" fillId="97" borderId="27" applyNumberFormat="0" applyProtection="0">
      <alignment horizontal="right" vertical="center"/>
    </xf>
    <xf numFmtId="4" fontId="83" fillId="40" borderId="28" applyNumberFormat="0" applyProtection="0">
      <alignment horizontal="right" vertical="center"/>
    </xf>
    <xf numFmtId="4" fontId="29" fillId="97" borderId="27" applyNumberFormat="0" applyProtection="0">
      <alignment horizontal="right" vertical="center"/>
    </xf>
    <xf numFmtId="4" fontId="83" fillId="97" borderId="27" applyNumberFormat="0" applyProtection="0">
      <alignment horizontal="right" vertical="center"/>
    </xf>
    <xf numFmtId="4" fontId="83" fillId="98" borderId="28" applyNumberFormat="0" applyProtection="0">
      <alignment horizontal="right" vertical="center"/>
    </xf>
    <xf numFmtId="4" fontId="83" fillId="98" borderId="28" applyNumberFormat="0" applyProtection="0">
      <alignment horizontal="right" vertical="center"/>
    </xf>
    <xf numFmtId="4" fontId="29" fillId="79" borderId="27" applyNumberFormat="0" applyProtection="0">
      <alignment horizontal="right" vertical="center"/>
    </xf>
    <xf numFmtId="4" fontId="83" fillId="98" borderId="28" applyNumberFormat="0" applyProtection="0">
      <alignment horizontal="right" vertical="center"/>
    </xf>
    <xf numFmtId="4" fontId="29" fillId="79" borderId="27" applyNumberFormat="0" applyProtection="0">
      <alignment horizontal="right" vertical="center"/>
    </xf>
    <xf numFmtId="4" fontId="83" fillId="79" borderId="27" applyNumberFormat="0" applyProtection="0">
      <alignment horizontal="right" vertical="center"/>
    </xf>
    <xf numFmtId="4" fontId="83" fillId="44" borderId="28" applyNumberFormat="0" applyProtection="0">
      <alignment horizontal="right" vertical="center"/>
    </xf>
    <xf numFmtId="4" fontId="83" fillId="44" borderId="28" applyNumberFormat="0" applyProtection="0">
      <alignment horizontal="right" vertical="center"/>
    </xf>
    <xf numFmtId="4" fontId="29" fillId="99" borderId="27" applyNumberFormat="0" applyProtection="0">
      <alignment horizontal="right" vertical="center"/>
    </xf>
    <xf numFmtId="4" fontId="83" fillId="44" borderId="28" applyNumberFormat="0" applyProtection="0">
      <alignment horizontal="right" vertical="center"/>
    </xf>
    <xf numFmtId="4" fontId="29" fillId="99" borderId="27" applyNumberFormat="0" applyProtection="0">
      <alignment horizontal="right" vertical="center"/>
    </xf>
    <xf numFmtId="4" fontId="83" fillId="99" borderId="27" applyNumberFormat="0" applyProtection="0">
      <alignment horizontal="right" vertical="center"/>
    </xf>
    <xf numFmtId="4" fontId="83" fillId="52" borderId="28" applyNumberFormat="0" applyProtection="0">
      <alignment horizontal="right" vertical="center"/>
    </xf>
    <xf numFmtId="4" fontId="83" fillId="52" borderId="28" applyNumberFormat="0" applyProtection="0">
      <alignment horizontal="right" vertical="center"/>
    </xf>
    <xf numFmtId="4" fontId="29" fillId="100" borderId="27" applyNumberFormat="0" applyProtection="0">
      <alignment horizontal="right" vertical="center"/>
    </xf>
    <xf numFmtId="4" fontId="83" fillId="52" borderId="28" applyNumberFormat="0" applyProtection="0">
      <alignment horizontal="right" vertical="center"/>
    </xf>
    <xf numFmtId="4" fontId="29" fillId="100" borderId="27" applyNumberFormat="0" applyProtection="0">
      <alignment horizontal="right" vertical="center"/>
    </xf>
    <xf numFmtId="4" fontId="83" fillId="100" borderId="27" applyNumberFormat="0" applyProtection="0">
      <alignment horizontal="right" vertical="center"/>
    </xf>
    <xf numFmtId="4" fontId="83" fillId="101" borderId="28" applyNumberFormat="0" applyProtection="0">
      <alignment horizontal="right" vertical="center"/>
    </xf>
    <xf numFmtId="4" fontId="83" fillId="101" borderId="28" applyNumberFormat="0" applyProtection="0">
      <alignment horizontal="right" vertical="center"/>
    </xf>
    <xf numFmtId="4" fontId="29" fillId="102" borderId="27" applyNumberFormat="0" applyProtection="0">
      <alignment horizontal="right" vertical="center"/>
    </xf>
    <xf numFmtId="4" fontId="83" fillId="101" borderId="28" applyNumberFormat="0" applyProtection="0">
      <alignment horizontal="right" vertical="center"/>
    </xf>
    <xf numFmtId="4" fontId="29" fillId="102" borderId="27" applyNumberFormat="0" applyProtection="0">
      <alignment horizontal="right" vertical="center"/>
    </xf>
    <xf numFmtId="4" fontId="83" fillId="102" borderId="27" applyNumberFormat="0" applyProtection="0">
      <alignment horizontal="right" vertical="center"/>
    </xf>
    <xf numFmtId="4" fontId="83" fillId="103" borderId="28" applyNumberFormat="0" applyProtection="0">
      <alignment horizontal="right" vertical="center"/>
    </xf>
    <xf numFmtId="4" fontId="83" fillId="103" borderId="28" applyNumberFormat="0" applyProtection="0">
      <alignment horizontal="right" vertical="center"/>
    </xf>
    <xf numFmtId="4" fontId="29" fillId="104" borderId="27" applyNumberFormat="0" applyProtection="0">
      <alignment horizontal="right" vertical="center"/>
    </xf>
    <xf numFmtId="4" fontId="83" fillId="103" borderId="28" applyNumberFormat="0" applyProtection="0">
      <alignment horizontal="right" vertical="center"/>
    </xf>
    <xf numFmtId="4" fontId="29" fillId="104" borderId="27" applyNumberFormat="0" applyProtection="0">
      <alignment horizontal="right" vertical="center"/>
    </xf>
    <xf numFmtId="4" fontId="83" fillId="104" borderId="27" applyNumberFormat="0" applyProtection="0">
      <alignment horizontal="right" vertical="center"/>
    </xf>
    <xf numFmtId="4" fontId="83" fillId="105" borderId="28" applyNumberFormat="0" applyProtection="0">
      <alignment horizontal="right" vertical="center"/>
    </xf>
    <xf numFmtId="4" fontId="83" fillId="105" borderId="28" applyNumberFormat="0" applyProtection="0">
      <alignment horizontal="right" vertical="center"/>
    </xf>
    <xf numFmtId="4" fontId="29" fillId="106" borderId="27" applyNumberFormat="0" applyProtection="0">
      <alignment horizontal="right" vertical="center"/>
    </xf>
    <xf numFmtId="4" fontId="83" fillId="105" borderId="28" applyNumberFormat="0" applyProtection="0">
      <alignment horizontal="right" vertical="center"/>
    </xf>
    <xf numFmtId="4" fontId="29" fillId="106" borderId="27" applyNumberFormat="0" applyProtection="0">
      <alignment horizontal="right" vertical="center"/>
    </xf>
    <xf numFmtId="4" fontId="83" fillId="106" borderId="27" applyNumberFormat="0" applyProtection="0">
      <alignment horizontal="right" vertical="center"/>
    </xf>
    <xf numFmtId="4" fontId="83" fillId="42" borderId="28" applyNumberFormat="0" applyProtection="0">
      <alignment horizontal="right" vertical="center"/>
    </xf>
    <xf numFmtId="4" fontId="83" fillId="42" borderId="28" applyNumberFormat="0" applyProtection="0">
      <alignment horizontal="right" vertical="center"/>
    </xf>
    <xf numFmtId="4" fontId="29" fillId="86" borderId="27" applyNumberFormat="0" applyProtection="0">
      <alignment horizontal="right" vertical="center"/>
    </xf>
    <xf numFmtId="4" fontId="83" fillId="42" borderId="28" applyNumberFormat="0" applyProtection="0">
      <alignment horizontal="right" vertical="center"/>
    </xf>
    <xf numFmtId="4" fontId="29" fillId="86" borderId="27" applyNumberFormat="0" applyProtection="0">
      <alignment horizontal="right" vertical="center"/>
    </xf>
    <xf numFmtId="4" fontId="83" fillId="86" borderId="27" applyNumberFormat="0" applyProtection="0">
      <alignment horizontal="right" vertical="center"/>
    </xf>
    <xf numFmtId="4" fontId="86" fillId="107" borderId="29" applyNumberFormat="0" applyProtection="0">
      <alignment horizontal="left" vertical="center" indent="1"/>
    </xf>
    <xf numFmtId="4" fontId="29" fillId="108" borderId="27" applyNumberFormat="0" applyProtection="0">
      <alignment horizontal="left" vertical="center" indent="1"/>
    </xf>
    <xf numFmtId="4" fontId="29" fillId="108" borderId="27" applyNumberFormat="0" applyProtection="0">
      <alignment horizontal="left" vertical="center" indent="1"/>
    </xf>
    <xf numFmtId="4" fontId="86" fillId="108" borderId="27" applyNumberFormat="0" applyProtection="0">
      <alignment horizontal="left" vertical="center" indent="1"/>
    </xf>
    <xf numFmtId="4" fontId="83" fillId="109" borderId="0" applyNumberFormat="0" applyProtection="0">
      <alignment horizontal="left" vertical="center" indent="1"/>
    </xf>
    <xf numFmtId="4" fontId="29" fillId="110" borderId="30" applyNumberFormat="0" applyProtection="0">
      <alignment horizontal="left" vertical="center" indent="1"/>
    </xf>
    <xf numFmtId="4" fontId="29" fillId="110" borderId="30" applyNumberFormat="0" applyProtection="0">
      <alignment horizontal="left" vertical="center" indent="1"/>
    </xf>
    <xf numFmtId="4" fontId="83" fillId="110" borderId="30" applyNumberFormat="0" applyProtection="0">
      <alignment horizontal="left" vertical="center" indent="1"/>
    </xf>
    <xf numFmtId="4" fontId="90" fillId="111" borderId="0" applyNumberFormat="0" applyProtection="0">
      <alignment horizontal="left" vertical="center" indent="1"/>
    </xf>
    <xf numFmtId="4" fontId="29" fillId="112" borderId="0" applyNumberFormat="0" applyProtection="0">
      <alignment horizontal="left" vertical="center" indent="1"/>
    </xf>
    <xf numFmtId="4" fontId="90" fillId="112" borderId="0" applyNumberFormat="0" applyProtection="0">
      <alignment horizontal="left" vertical="center" indent="1"/>
    </xf>
    <xf numFmtId="4" fontId="83" fillId="94" borderId="28" applyNumberFormat="0" applyProtection="0">
      <alignment horizontal="right" vertical="center"/>
    </xf>
    <xf numFmtId="4" fontId="83" fillId="94" borderId="28" applyNumberFormat="0" applyProtection="0">
      <alignment horizontal="right" vertical="center"/>
    </xf>
    <xf numFmtId="170" fontId="89" fillId="95" borderId="27" applyNumberFormat="0" applyProtection="0">
      <alignment horizontal="left" vertical="center" indent="1"/>
    </xf>
    <xf numFmtId="4" fontId="83" fillId="94" borderId="28" applyNumberFormat="0" applyProtection="0">
      <alignment horizontal="right" vertical="center"/>
    </xf>
    <xf numFmtId="170" fontId="89" fillId="95" borderId="27" applyNumberFormat="0" applyProtection="0">
      <alignment horizontal="left" vertical="center" indent="1"/>
    </xf>
    <xf numFmtId="0" fontId="30" fillId="95" borderId="27" applyNumberFormat="0" applyProtection="0">
      <alignment horizontal="left" vertical="center" indent="1"/>
    </xf>
    <xf numFmtId="4" fontId="55" fillId="109" borderId="0" applyNumberFormat="0" applyProtection="0">
      <alignment horizontal="left" vertical="center" indent="1"/>
    </xf>
    <xf numFmtId="4" fontId="29" fillId="110" borderId="27" applyNumberFormat="0" applyProtection="0">
      <alignment horizontal="left" vertical="center" indent="1"/>
    </xf>
    <xf numFmtId="4" fontId="29" fillId="110" borderId="27" applyNumberFormat="0" applyProtection="0">
      <alignment horizontal="left" vertical="center" indent="1"/>
    </xf>
    <xf numFmtId="4" fontId="55" fillId="110" borderId="27" applyNumberFormat="0" applyProtection="0">
      <alignment horizontal="left" vertical="center" indent="1"/>
    </xf>
    <xf numFmtId="4" fontId="55" fillId="94" borderId="0" applyNumberFormat="0" applyProtection="0">
      <alignment horizontal="left" vertical="center" indent="1"/>
    </xf>
    <xf numFmtId="4" fontId="29" fillId="90" borderId="27" applyNumberFormat="0" applyProtection="0">
      <alignment horizontal="left" vertical="center" indent="1"/>
    </xf>
    <xf numFmtId="4" fontId="29" fillId="90" borderId="27" applyNumberFormat="0" applyProtection="0">
      <alignment horizontal="left" vertical="center" indent="1"/>
    </xf>
    <xf numFmtId="4" fontId="55" fillId="90" borderId="27" applyNumberFormat="0" applyProtection="0">
      <alignment horizontal="left" vertical="center" indent="1"/>
    </xf>
    <xf numFmtId="0" fontId="30" fillId="111" borderId="28" applyNumberFormat="0" applyProtection="0">
      <alignment horizontal="left" vertical="center" indent="1"/>
    </xf>
    <xf numFmtId="0" fontId="30" fillId="111" borderId="28" applyNumberFormat="0" applyProtection="0">
      <alignment horizontal="left" vertical="center" indent="1"/>
    </xf>
    <xf numFmtId="170" fontId="89" fillId="90" borderId="27" applyNumberFormat="0" applyProtection="0">
      <alignment horizontal="left" vertical="center" indent="1"/>
    </xf>
    <xf numFmtId="0" fontId="30" fillId="111" borderId="28" applyNumberFormat="0" applyProtection="0">
      <alignment horizontal="left" vertical="center" indent="1"/>
    </xf>
    <xf numFmtId="170" fontId="89" fillId="90" borderId="27" applyNumberFormat="0" applyProtection="0">
      <alignment horizontal="left" vertical="center" indent="1"/>
    </xf>
    <xf numFmtId="0" fontId="30" fillId="90" borderId="27" applyNumberFormat="0" applyProtection="0">
      <alignment horizontal="left" vertical="center" indent="1"/>
    </xf>
    <xf numFmtId="0" fontId="30" fillId="111" borderId="28" applyNumberFormat="0" applyProtection="0">
      <alignment horizontal="left" vertical="top" indent="1"/>
    </xf>
    <xf numFmtId="0" fontId="30" fillId="111" borderId="28" applyNumberFormat="0" applyProtection="0">
      <alignment horizontal="left" vertical="top" indent="1"/>
    </xf>
    <xf numFmtId="170" fontId="89" fillId="90" borderId="27" applyNumberFormat="0" applyProtection="0">
      <alignment horizontal="left" vertical="center" indent="1"/>
    </xf>
    <xf numFmtId="0" fontId="30" fillId="111" borderId="28" applyNumberFormat="0" applyProtection="0">
      <alignment horizontal="left" vertical="top" indent="1"/>
    </xf>
    <xf numFmtId="170" fontId="89" fillId="90" borderId="27" applyNumberFormat="0" applyProtection="0">
      <alignment horizontal="left" vertical="center" indent="1"/>
    </xf>
    <xf numFmtId="0" fontId="30" fillId="90" borderId="27" applyNumberFormat="0" applyProtection="0">
      <alignment horizontal="left" vertical="center" indent="1"/>
    </xf>
    <xf numFmtId="0" fontId="30" fillId="94" borderId="28" applyNumberFormat="0" applyProtection="0">
      <alignment horizontal="left" vertical="center" indent="1"/>
    </xf>
    <xf numFmtId="0" fontId="30" fillId="94" borderId="28" applyNumberFormat="0" applyProtection="0">
      <alignment horizontal="left" vertical="center" indent="1"/>
    </xf>
    <xf numFmtId="170" fontId="89" fillId="113" borderId="27" applyNumberFormat="0" applyProtection="0">
      <alignment horizontal="left" vertical="center" indent="1"/>
    </xf>
    <xf numFmtId="0" fontId="30" fillId="94" borderId="28" applyNumberFormat="0" applyProtection="0">
      <alignment horizontal="left" vertical="center" indent="1"/>
    </xf>
    <xf numFmtId="170" fontId="89" fillId="113" borderId="27" applyNumberFormat="0" applyProtection="0">
      <alignment horizontal="left" vertical="center" indent="1"/>
    </xf>
    <xf numFmtId="0" fontId="30" fillId="113" borderId="27" applyNumberFormat="0" applyProtection="0">
      <alignment horizontal="left" vertical="center" indent="1"/>
    </xf>
    <xf numFmtId="0" fontId="30" fillId="94" borderId="28" applyNumberFormat="0" applyProtection="0">
      <alignment horizontal="left" vertical="top" indent="1"/>
    </xf>
    <xf numFmtId="0" fontId="30" fillId="94" borderId="28" applyNumberFormat="0" applyProtection="0">
      <alignment horizontal="left" vertical="top" indent="1"/>
    </xf>
    <xf numFmtId="170" fontId="89" fillId="113" borderId="27" applyNumberFormat="0" applyProtection="0">
      <alignment horizontal="left" vertical="center" indent="1"/>
    </xf>
    <xf numFmtId="0" fontId="30" fillId="94" borderId="28" applyNumberFormat="0" applyProtection="0">
      <alignment horizontal="left" vertical="top" indent="1"/>
    </xf>
    <xf numFmtId="170" fontId="89" fillId="113" borderId="27" applyNumberFormat="0" applyProtection="0">
      <alignment horizontal="left" vertical="center" indent="1"/>
    </xf>
    <xf numFmtId="0" fontId="30" fillId="113" borderId="27" applyNumberFormat="0" applyProtection="0">
      <alignment horizontal="left" vertical="center" indent="1"/>
    </xf>
    <xf numFmtId="0" fontId="30" fillId="38" borderId="28" applyNumberFormat="0" applyProtection="0">
      <alignment horizontal="left" vertical="center" indent="1"/>
    </xf>
    <xf numFmtId="0" fontId="30" fillId="38" borderId="28" applyNumberFormat="0" applyProtection="0">
      <alignment horizontal="left" vertical="center" indent="1"/>
    </xf>
    <xf numFmtId="170" fontId="89" fillId="22" borderId="27" applyNumberFormat="0" applyProtection="0">
      <alignment horizontal="left" vertical="center" indent="1"/>
    </xf>
    <xf numFmtId="0" fontId="30" fillId="38" borderId="28" applyNumberFormat="0" applyProtection="0">
      <alignment horizontal="left" vertical="center" indent="1"/>
    </xf>
    <xf numFmtId="170" fontId="89" fillId="22" borderId="27" applyNumberFormat="0" applyProtection="0">
      <alignment horizontal="left" vertical="center" indent="1"/>
    </xf>
    <xf numFmtId="0" fontId="30" fillId="22" borderId="27" applyNumberFormat="0" applyProtection="0">
      <alignment horizontal="left" vertical="center" indent="1"/>
    </xf>
    <xf numFmtId="0" fontId="30" fillId="38" borderId="28" applyNumberFormat="0" applyProtection="0">
      <alignment horizontal="left" vertical="top" indent="1"/>
    </xf>
    <xf numFmtId="0" fontId="30" fillId="38" borderId="28" applyNumberFormat="0" applyProtection="0">
      <alignment horizontal="left" vertical="top" indent="1"/>
    </xf>
    <xf numFmtId="170" fontId="89" fillId="22" borderId="27" applyNumberFormat="0" applyProtection="0">
      <alignment horizontal="left" vertical="center" indent="1"/>
    </xf>
    <xf numFmtId="0" fontId="30" fillId="38" borderId="28" applyNumberFormat="0" applyProtection="0">
      <alignment horizontal="left" vertical="top" indent="1"/>
    </xf>
    <xf numFmtId="170" fontId="89" fillId="22" borderId="27" applyNumberFormat="0" applyProtection="0">
      <alignment horizontal="left" vertical="center" indent="1"/>
    </xf>
    <xf numFmtId="0" fontId="30" fillId="22" borderId="27" applyNumberFormat="0" applyProtection="0">
      <alignment horizontal="left" vertical="center" indent="1"/>
    </xf>
    <xf numFmtId="0" fontId="30" fillId="109" borderId="28" applyNumberFormat="0" applyProtection="0">
      <alignment horizontal="left" vertical="center" indent="1"/>
    </xf>
    <xf numFmtId="0" fontId="30" fillId="109" borderId="28" applyNumberFormat="0" applyProtection="0">
      <alignment horizontal="left" vertical="center" indent="1"/>
    </xf>
    <xf numFmtId="170" fontId="89" fillId="95" borderId="27" applyNumberFormat="0" applyProtection="0">
      <alignment horizontal="left" vertical="center" indent="1"/>
    </xf>
    <xf numFmtId="0" fontId="30" fillId="109" borderId="28" applyNumberFormat="0" applyProtection="0">
      <alignment horizontal="left" vertical="center" indent="1"/>
    </xf>
    <xf numFmtId="170" fontId="89" fillId="95" borderId="27" applyNumberFormat="0" applyProtection="0">
      <alignment horizontal="left" vertical="center" indent="1"/>
    </xf>
    <xf numFmtId="0" fontId="30" fillId="95" borderId="27" applyNumberFormat="0" applyProtection="0">
      <alignment horizontal="left" vertical="center" indent="1"/>
    </xf>
    <xf numFmtId="0" fontId="30" fillId="109" borderId="28" applyNumberFormat="0" applyProtection="0">
      <alignment horizontal="left" vertical="top" indent="1"/>
    </xf>
    <xf numFmtId="0" fontId="30" fillId="109" borderId="28" applyNumberFormat="0" applyProtection="0">
      <alignment horizontal="left" vertical="top" indent="1"/>
    </xf>
    <xf numFmtId="170" fontId="89" fillId="95" borderId="27" applyNumberFormat="0" applyProtection="0">
      <alignment horizontal="left" vertical="center" indent="1"/>
    </xf>
    <xf numFmtId="0" fontId="30" fillId="109" borderId="28" applyNumberFormat="0" applyProtection="0">
      <alignment horizontal="left" vertical="top" indent="1"/>
    </xf>
    <xf numFmtId="170" fontId="89" fillId="95" borderId="27" applyNumberFormat="0" applyProtection="0">
      <alignment horizontal="left" vertical="center" indent="1"/>
    </xf>
    <xf numFmtId="0" fontId="30" fillId="95" borderId="27" applyNumberFormat="0" applyProtection="0">
      <alignment horizontal="left" vertical="center" indent="1"/>
    </xf>
    <xf numFmtId="0" fontId="30" fillId="114" borderId="15" applyNumberFormat="0">
      <protection locked="0"/>
    </xf>
    <xf numFmtId="0" fontId="25" fillId="114" borderId="31" applyNumberFormat="0">
      <protection locked="0"/>
    </xf>
    <xf numFmtId="0" fontId="29" fillId="0" borderId="0"/>
    <xf numFmtId="0" fontId="91" fillId="111" borderId="32" applyBorder="0"/>
    <xf numFmtId="4" fontId="83" fillId="91" borderId="28" applyNumberFormat="0" applyProtection="0">
      <alignment vertical="center"/>
    </xf>
    <xf numFmtId="4" fontId="83" fillId="91" borderId="28" applyNumberFormat="0" applyProtection="0">
      <alignment vertical="center"/>
    </xf>
    <xf numFmtId="4" fontId="29" fillId="115" borderId="27" applyNumberFormat="0" applyProtection="0">
      <alignment vertical="center"/>
    </xf>
    <xf numFmtId="4" fontId="83" fillId="91" borderId="28" applyNumberFormat="0" applyProtection="0">
      <alignment vertical="center"/>
    </xf>
    <xf numFmtId="4" fontId="29" fillId="115" borderId="27" applyNumberFormat="0" applyProtection="0">
      <alignment vertical="center"/>
    </xf>
    <xf numFmtId="4" fontId="83" fillId="115" borderId="27" applyNumberFormat="0" applyProtection="0">
      <alignment vertical="center"/>
    </xf>
    <xf numFmtId="4" fontId="88" fillId="91" borderId="28" applyNumberFormat="0" applyProtection="0">
      <alignment vertical="center"/>
    </xf>
    <xf numFmtId="4" fontId="88" fillId="91" borderId="28" applyNumberFormat="0" applyProtection="0">
      <alignment vertical="center"/>
    </xf>
    <xf numFmtId="4" fontId="29" fillId="115" borderId="27" applyNumberFormat="0" applyProtection="0">
      <alignment vertical="center"/>
    </xf>
    <xf numFmtId="4" fontId="88" fillId="91" borderId="28" applyNumberFormat="0" applyProtection="0">
      <alignment vertical="center"/>
    </xf>
    <xf numFmtId="4" fontId="29" fillId="115" borderId="27" applyNumberFormat="0" applyProtection="0">
      <alignment vertical="center"/>
    </xf>
    <xf numFmtId="4" fontId="88" fillId="115" borderId="27" applyNumberFormat="0" applyProtection="0">
      <alignment vertical="center"/>
    </xf>
    <xf numFmtId="4" fontId="83" fillId="91" borderId="28" applyNumberFormat="0" applyProtection="0">
      <alignment horizontal="left" vertical="center" indent="1"/>
    </xf>
    <xf numFmtId="4" fontId="83" fillId="91" borderId="28" applyNumberFormat="0" applyProtection="0">
      <alignment horizontal="left" vertical="center" indent="1"/>
    </xf>
    <xf numFmtId="4" fontId="29" fillId="115" borderId="27" applyNumberFormat="0" applyProtection="0">
      <alignment horizontal="left" vertical="center" indent="1"/>
    </xf>
    <xf numFmtId="4" fontId="83" fillId="91" borderId="28" applyNumberFormat="0" applyProtection="0">
      <alignment horizontal="left" vertical="center" indent="1"/>
    </xf>
    <xf numFmtId="4" fontId="29" fillId="115" borderId="27" applyNumberFormat="0" applyProtection="0">
      <alignment horizontal="left" vertical="center" indent="1"/>
    </xf>
    <xf numFmtId="4" fontId="83" fillId="115" borderId="27" applyNumberFormat="0" applyProtection="0">
      <alignment horizontal="left" vertical="center" indent="1"/>
    </xf>
    <xf numFmtId="0" fontId="83" fillId="91" borderId="28" applyNumberFormat="0" applyProtection="0">
      <alignment horizontal="left" vertical="top" indent="1"/>
    </xf>
    <xf numFmtId="0" fontId="83" fillId="91" borderId="28" applyNumberFormat="0" applyProtection="0">
      <alignment horizontal="left" vertical="top" indent="1"/>
    </xf>
    <xf numFmtId="4" fontId="29" fillId="115" borderId="27" applyNumberFormat="0" applyProtection="0">
      <alignment horizontal="left" vertical="center" indent="1"/>
    </xf>
    <xf numFmtId="0" fontId="83" fillId="91" borderId="28" applyNumberFormat="0" applyProtection="0">
      <alignment horizontal="left" vertical="top" indent="1"/>
    </xf>
    <xf numFmtId="4" fontId="29" fillId="115" borderId="27" applyNumberFormat="0" applyProtection="0">
      <alignment horizontal="left" vertical="center" indent="1"/>
    </xf>
    <xf numFmtId="4" fontId="83" fillId="115" borderId="27" applyNumberFormat="0" applyProtection="0">
      <alignment horizontal="left" vertical="center" indent="1"/>
    </xf>
    <xf numFmtId="4" fontId="83" fillId="109" borderId="28" applyNumberFormat="0" applyProtection="0">
      <alignment horizontal="right" vertical="center"/>
    </xf>
    <xf numFmtId="4" fontId="83" fillId="109" borderId="28" applyNumberFormat="0" applyProtection="0">
      <alignment horizontal="right" vertical="center"/>
    </xf>
    <xf numFmtId="4" fontId="29" fillId="110" borderId="27" applyNumberFormat="0" applyProtection="0">
      <alignment horizontal="right" vertical="center"/>
    </xf>
    <xf numFmtId="4" fontId="83" fillId="109" borderId="28" applyNumberFormat="0" applyProtection="0">
      <alignment horizontal="right" vertical="center"/>
    </xf>
    <xf numFmtId="4" fontId="29" fillId="110" borderId="27" applyNumberFormat="0" applyProtection="0">
      <alignment horizontal="right" vertical="center"/>
    </xf>
    <xf numFmtId="4" fontId="83" fillId="110" borderId="27" applyNumberFormat="0" applyProtection="0">
      <alignment horizontal="right" vertical="center"/>
    </xf>
    <xf numFmtId="4" fontId="88" fillId="109" borderId="28" applyNumberFormat="0" applyProtection="0">
      <alignment horizontal="right" vertical="center"/>
    </xf>
    <xf numFmtId="4" fontId="88" fillId="109" borderId="28" applyNumberFormat="0" applyProtection="0">
      <alignment horizontal="right" vertical="center"/>
    </xf>
    <xf numFmtId="4" fontId="29" fillId="110" borderId="27" applyNumberFormat="0" applyProtection="0">
      <alignment horizontal="right" vertical="center"/>
    </xf>
    <xf numFmtId="4" fontId="88" fillId="109" borderId="28" applyNumberFormat="0" applyProtection="0">
      <alignment horizontal="right" vertical="center"/>
    </xf>
    <xf numFmtId="4" fontId="29" fillId="110" borderId="27" applyNumberFormat="0" applyProtection="0">
      <alignment horizontal="right" vertical="center"/>
    </xf>
    <xf numFmtId="4" fontId="88" fillId="110" borderId="27" applyNumberFormat="0" applyProtection="0">
      <alignment horizontal="right" vertical="center"/>
    </xf>
    <xf numFmtId="4" fontId="83" fillId="94" borderId="28" applyNumberFormat="0" applyProtection="0">
      <alignment horizontal="left" vertical="center" indent="1"/>
    </xf>
    <xf numFmtId="4" fontId="83" fillId="94" borderId="28" applyNumberFormat="0" applyProtection="0">
      <alignment horizontal="left" vertical="center" indent="1"/>
    </xf>
    <xf numFmtId="170" fontId="89" fillId="95" borderId="27" applyNumberFormat="0" applyProtection="0">
      <alignment horizontal="left" vertical="center" indent="1"/>
    </xf>
    <xf numFmtId="4" fontId="83" fillId="94" borderId="28" applyNumberFormat="0" applyProtection="0">
      <alignment horizontal="left" vertical="center" indent="1"/>
    </xf>
    <xf numFmtId="170" fontId="89" fillId="95" borderId="27" applyNumberFormat="0" applyProtection="0">
      <alignment horizontal="left" vertical="center" indent="1"/>
    </xf>
    <xf numFmtId="0" fontId="30" fillId="95" borderId="27" applyNumberFormat="0" applyProtection="0">
      <alignment horizontal="left" vertical="center" indent="1"/>
    </xf>
    <xf numFmtId="0" fontId="83" fillId="94" borderId="28" applyNumberFormat="0" applyProtection="0">
      <alignment horizontal="left" vertical="top" indent="1"/>
    </xf>
    <xf numFmtId="0" fontId="83" fillId="94" borderId="28" applyNumberFormat="0" applyProtection="0">
      <alignment horizontal="left" vertical="top" indent="1"/>
    </xf>
    <xf numFmtId="170" fontId="89" fillId="95" borderId="27" applyNumberFormat="0" applyProtection="0">
      <alignment horizontal="left" vertical="center" indent="1"/>
    </xf>
    <xf numFmtId="0" fontId="83" fillId="94" borderId="28" applyNumberFormat="0" applyProtection="0">
      <alignment horizontal="left" vertical="top" indent="1"/>
    </xf>
    <xf numFmtId="170" fontId="89" fillId="95" borderId="27" applyNumberFormat="0" applyProtection="0">
      <alignment horizontal="left" vertical="center" indent="1"/>
    </xf>
    <xf numFmtId="0" fontId="30" fillId="95" borderId="27" applyNumberFormat="0" applyProtection="0">
      <alignment horizontal="left" vertical="center" indent="1"/>
    </xf>
    <xf numFmtId="4" fontId="92" fillId="116" borderId="0" applyNumberFormat="0" applyProtection="0">
      <alignment horizontal="left" vertical="center" indent="1"/>
    </xf>
    <xf numFmtId="170" fontId="29" fillId="0" borderId="0"/>
    <xf numFmtId="0" fontId="93" fillId="0" borderId="0"/>
    <xf numFmtId="0" fontId="94" fillId="117" borderId="15"/>
    <xf numFmtId="4" fontId="95" fillId="109" borderId="28" applyNumberFormat="0" applyProtection="0">
      <alignment horizontal="right" vertical="center"/>
    </xf>
    <xf numFmtId="4" fontId="95" fillId="109" borderId="28" applyNumberFormat="0" applyProtection="0">
      <alignment horizontal="right" vertical="center"/>
    </xf>
    <xf numFmtId="4" fontId="29" fillId="110" borderId="27" applyNumberFormat="0" applyProtection="0">
      <alignment horizontal="right" vertical="center"/>
    </xf>
    <xf numFmtId="4" fontId="95" fillId="109" borderId="28" applyNumberFormat="0" applyProtection="0">
      <alignment horizontal="right" vertical="center"/>
    </xf>
    <xf numFmtId="4" fontId="29" fillId="110" borderId="27" applyNumberFormat="0" applyProtection="0">
      <alignment horizontal="right" vertical="center"/>
    </xf>
    <xf numFmtId="4" fontId="95" fillId="110" borderId="27" applyNumberFormat="0" applyProtection="0">
      <alignment horizontal="right" vertical="center"/>
    </xf>
    <xf numFmtId="0" fontId="96" fillId="118" borderId="0"/>
    <xf numFmtId="49" fontId="97" fillId="118" borderId="0"/>
    <xf numFmtId="49" fontId="98" fillId="118" borderId="33"/>
    <xf numFmtId="49" fontId="98" fillId="118" borderId="0"/>
    <xf numFmtId="0" fontId="96" fillId="25" borderId="33">
      <protection locked="0"/>
    </xf>
    <xf numFmtId="0" fontId="96" fillId="118" borderId="0"/>
    <xf numFmtId="0" fontId="98" fillId="119" borderId="0"/>
    <xf numFmtId="0" fontId="98" fillId="86" borderId="0"/>
    <xf numFmtId="0" fontId="98" fillId="99" borderId="0"/>
    <xf numFmtId="0" fontId="99" fillId="0" borderId="0" applyNumberFormat="0" applyFill="0" applyBorder="0" applyAlignment="0" applyProtection="0"/>
    <xf numFmtId="186" fontId="30" fillId="76" borderId="15">
      <alignment vertical="center"/>
    </xf>
    <xf numFmtId="0" fontId="30" fillId="120" borderId="0"/>
    <xf numFmtId="170" fontId="31" fillId="0" borderId="0"/>
    <xf numFmtId="177" fontId="30" fillId="25" borderId="34" applyNumberFormat="0" applyFont="0" applyAlignment="0">
      <alignment horizontal="left"/>
    </xf>
    <xf numFmtId="169" fontId="100" fillId="121" borderId="0">
      <alignment horizontal="right" vertical="top"/>
    </xf>
    <xf numFmtId="38" fontId="29" fillId="121" borderId="0">
      <alignment horizontal="right" vertical="top"/>
    </xf>
    <xf numFmtId="49" fontId="101" fillId="22" borderId="15" applyNumberFormat="0" applyBorder="0">
      <alignment horizontal="center" vertical="center" wrapText="1"/>
    </xf>
    <xf numFmtId="0" fontId="51" fillId="0" borderId="35" applyNumberFormat="0" applyFont="0" applyFill="0" applyAlignment="0" applyProtection="0"/>
    <xf numFmtId="177" fontId="102" fillId="79" borderId="36">
      <alignment horizontal="center" vertical="center"/>
    </xf>
    <xf numFmtId="0" fontId="103" fillId="0" borderId="0" applyNumberFormat="0" applyFill="0" applyBorder="0" applyAlignment="0" applyProtection="0"/>
    <xf numFmtId="0" fontId="104" fillId="122" borderId="17">
      <alignment vertical="center"/>
      <protection locked="0"/>
    </xf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177" fontId="30" fillId="123" borderId="15" applyNumberFormat="0" applyFill="0" applyBorder="0" applyProtection="0">
      <alignment vertical="center"/>
      <protection locked="0"/>
    </xf>
    <xf numFmtId="0" fontId="105" fillId="0" borderId="15">
      <alignment horizontal="center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170" fontId="29" fillId="124" borderId="0" applyNumberFormat="0" applyBorder="0" applyAlignment="0" applyProtection="0"/>
    <xf numFmtId="0" fontId="38" fillId="124" borderId="0" applyNumberFormat="0" applyBorder="0" applyAlignment="0" applyProtection="0"/>
    <xf numFmtId="170" fontId="29" fillId="124" borderId="0" applyNumberFormat="0" applyBorder="0" applyAlignment="0" applyProtection="0"/>
    <xf numFmtId="0" fontId="38" fillId="124" borderId="0" applyNumberFormat="0" applyBorder="0" applyAlignment="0" applyProtection="0"/>
    <xf numFmtId="170" fontId="29" fillId="124" borderId="0" applyNumberFormat="0" applyBorder="0" applyAlignment="0" applyProtection="0"/>
    <xf numFmtId="0" fontId="38" fillId="124" borderId="0" applyNumberFormat="0" applyBorder="0" applyAlignment="0" applyProtection="0"/>
    <xf numFmtId="170" fontId="29" fillId="124" borderId="0" applyNumberFormat="0" applyBorder="0" applyAlignment="0" applyProtection="0"/>
    <xf numFmtId="0" fontId="38" fillId="124" borderId="0" applyNumberFormat="0" applyBorder="0" applyAlignment="0" applyProtection="0"/>
    <xf numFmtId="170" fontId="29" fillId="125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17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124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170" fontId="29" fillId="98" borderId="0" applyNumberFormat="0" applyBorder="0" applyAlignment="0" applyProtection="0"/>
    <xf numFmtId="0" fontId="38" fillId="98" borderId="0" applyNumberFormat="0" applyBorder="0" applyAlignment="0" applyProtection="0"/>
    <xf numFmtId="170" fontId="29" fillId="98" borderId="0" applyNumberFormat="0" applyBorder="0" applyAlignment="0" applyProtection="0"/>
    <xf numFmtId="0" fontId="38" fillId="98" borderId="0" applyNumberFormat="0" applyBorder="0" applyAlignment="0" applyProtection="0"/>
    <xf numFmtId="170" fontId="29" fillId="98" borderId="0" applyNumberFormat="0" applyBorder="0" applyAlignment="0" applyProtection="0"/>
    <xf numFmtId="0" fontId="38" fillId="98" borderId="0" applyNumberFormat="0" applyBorder="0" applyAlignment="0" applyProtection="0"/>
    <xf numFmtId="170" fontId="29" fillId="98" borderId="0" applyNumberFormat="0" applyBorder="0" applyAlignment="0" applyProtection="0"/>
    <xf numFmtId="0" fontId="38" fillId="98" borderId="0" applyNumberFormat="0" applyBorder="0" applyAlignment="0" applyProtection="0"/>
    <xf numFmtId="170" fontId="29" fillId="126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17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98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170" fontId="29" fillId="103" borderId="0" applyNumberFormat="0" applyBorder="0" applyAlignment="0" applyProtection="0"/>
    <xf numFmtId="0" fontId="38" fillId="103" borderId="0" applyNumberFormat="0" applyBorder="0" applyAlignment="0" applyProtection="0"/>
    <xf numFmtId="170" fontId="29" fillId="103" borderId="0" applyNumberFormat="0" applyBorder="0" applyAlignment="0" applyProtection="0"/>
    <xf numFmtId="0" fontId="38" fillId="103" borderId="0" applyNumberFormat="0" applyBorder="0" applyAlignment="0" applyProtection="0"/>
    <xf numFmtId="170" fontId="29" fillId="103" borderId="0" applyNumberFormat="0" applyBorder="0" applyAlignment="0" applyProtection="0"/>
    <xf numFmtId="0" fontId="38" fillId="103" borderId="0" applyNumberFormat="0" applyBorder="0" applyAlignment="0" applyProtection="0"/>
    <xf numFmtId="170" fontId="29" fillId="103" borderId="0" applyNumberFormat="0" applyBorder="0" applyAlignment="0" applyProtection="0"/>
    <xf numFmtId="0" fontId="38" fillId="103" borderId="0" applyNumberFormat="0" applyBorder="0" applyAlignment="0" applyProtection="0"/>
    <xf numFmtId="170" fontId="29" fillId="127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17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103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8" borderId="0" applyNumberFormat="0" applyBorder="0" applyAlignment="0" applyProtection="0"/>
    <xf numFmtId="0" fontId="38" fillId="48" borderId="0" applyNumberFormat="0" applyBorder="0" applyAlignment="0" applyProtection="0"/>
    <xf numFmtId="170" fontId="29" fillId="49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17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48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0" borderId="0" applyNumberFormat="0" applyBorder="0" applyAlignment="0" applyProtection="0"/>
    <xf numFmtId="0" fontId="38" fillId="50" borderId="0" applyNumberFormat="0" applyBorder="0" applyAlignment="0" applyProtection="0"/>
    <xf numFmtId="170" fontId="29" fillId="51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17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50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170" fontId="29" fillId="101" borderId="0" applyNumberFormat="0" applyBorder="0" applyAlignment="0" applyProtection="0"/>
    <xf numFmtId="0" fontId="38" fillId="101" borderId="0" applyNumberFormat="0" applyBorder="0" applyAlignment="0" applyProtection="0"/>
    <xf numFmtId="170" fontId="29" fillId="101" borderId="0" applyNumberFormat="0" applyBorder="0" applyAlignment="0" applyProtection="0"/>
    <xf numFmtId="0" fontId="38" fillId="101" borderId="0" applyNumberFormat="0" applyBorder="0" applyAlignment="0" applyProtection="0"/>
    <xf numFmtId="170" fontId="29" fillId="101" borderId="0" applyNumberFormat="0" applyBorder="0" applyAlignment="0" applyProtection="0"/>
    <xf numFmtId="0" fontId="38" fillId="101" borderId="0" applyNumberFormat="0" applyBorder="0" applyAlignment="0" applyProtection="0"/>
    <xf numFmtId="170" fontId="29" fillId="101" borderId="0" applyNumberFormat="0" applyBorder="0" applyAlignment="0" applyProtection="0"/>
    <xf numFmtId="0" fontId="38" fillId="101" borderId="0" applyNumberFormat="0" applyBorder="0" applyAlignment="0" applyProtection="0"/>
    <xf numFmtId="170" fontId="29" fillId="128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17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0" fontId="38" fillId="101" borderId="0" applyNumberFormat="0" applyBorder="0" applyAlignment="0" applyProtection="0"/>
    <xf numFmtId="174" fontId="45" fillId="0" borderId="20">
      <protection locked="0"/>
    </xf>
    <xf numFmtId="174" fontId="106" fillId="0" borderId="20">
      <protection locked="0"/>
    </xf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71" fillId="74" borderId="23" applyNumberFormat="0" applyAlignment="0" applyProtection="0"/>
    <xf numFmtId="0" fontId="71" fillId="74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170" fontId="29" fillId="36" borderId="23" applyNumberFormat="0" applyAlignment="0" applyProtection="0"/>
    <xf numFmtId="170" fontId="29" fillId="36" borderId="23" applyNumberFormat="0" applyAlignment="0" applyProtection="0"/>
    <xf numFmtId="0" fontId="107" fillId="36" borderId="23" applyNumberFormat="0" applyAlignment="0" applyProtection="0"/>
    <xf numFmtId="170" fontId="29" fillId="36" borderId="23" applyNumberFormat="0" applyAlignment="0" applyProtection="0"/>
    <xf numFmtId="170" fontId="29" fillId="36" borderId="23" applyNumberFormat="0" applyAlignment="0" applyProtection="0"/>
    <xf numFmtId="0" fontId="107" fillId="36" borderId="23" applyNumberFormat="0" applyAlignment="0" applyProtection="0"/>
    <xf numFmtId="170" fontId="29" fillId="36" borderId="23" applyNumberFormat="0" applyAlignment="0" applyProtection="0"/>
    <xf numFmtId="170" fontId="29" fillId="36" borderId="23" applyNumberFormat="0" applyAlignment="0" applyProtection="0"/>
    <xf numFmtId="0" fontId="107" fillId="36" borderId="23" applyNumberFormat="0" applyAlignment="0" applyProtection="0"/>
    <xf numFmtId="170" fontId="29" fillId="36" borderId="23" applyNumberFormat="0" applyAlignment="0" applyProtection="0"/>
    <xf numFmtId="170" fontId="29" fillId="36" borderId="23" applyNumberFormat="0" applyAlignment="0" applyProtection="0"/>
    <xf numFmtId="0" fontId="107" fillId="36" borderId="23" applyNumberFormat="0" applyAlignment="0" applyProtection="0"/>
    <xf numFmtId="170" fontId="29" fillId="37" borderId="23" applyNumberFormat="0" applyAlignment="0" applyProtection="0"/>
    <xf numFmtId="0" fontId="107" fillId="36" borderId="23" applyNumberFormat="0" applyAlignment="0" applyProtection="0"/>
    <xf numFmtId="170" fontId="29" fillId="37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9" fillId="5" borderId="4" applyNumberFormat="0" applyAlignment="0" applyProtection="0"/>
    <xf numFmtId="0" fontId="107" fillId="36" borderId="23" applyNumberFormat="0" applyAlignment="0" applyProtection="0"/>
    <xf numFmtId="17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7" fillId="36" borderId="23" applyNumberFormat="0" applyAlignment="0" applyProtection="0"/>
    <xf numFmtId="0" fontId="105" fillId="0" borderId="15">
      <alignment horizontal="center"/>
    </xf>
    <xf numFmtId="0" fontId="105" fillId="0" borderId="0">
      <alignment vertical="top"/>
    </xf>
    <xf numFmtId="3" fontId="108" fillId="0" borderId="24" applyFill="0" applyBorder="0">
      <alignment vertical="center"/>
    </xf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81" fillId="92" borderId="27" applyNumberFormat="0" applyAlignment="0" applyProtection="0"/>
    <xf numFmtId="0" fontId="81" fillId="92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170" fontId="29" fillId="129" borderId="27" applyNumberFormat="0" applyAlignment="0" applyProtection="0"/>
    <xf numFmtId="170" fontId="29" fillId="129" borderId="27" applyNumberFormat="0" applyAlignment="0" applyProtection="0"/>
    <xf numFmtId="0" fontId="109" fillId="129" borderId="27" applyNumberFormat="0" applyAlignment="0" applyProtection="0"/>
    <xf numFmtId="170" fontId="29" fillId="129" borderId="27" applyNumberFormat="0" applyAlignment="0" applyProtection="0"/>
    <xf numFmtId="170" fontId="29" fillId="129" borderId="27" applyNumberFormat="0" applyAlignment="0" applyProtection="0"/>
    <xf numFmtId="0" fontId="109" fillId="129" borderId="27" applyNumberFormat="0" applyAlignment="0" applyProtection="0"/>
    <xf numFmtId="170" fontId="29" fillId="129" borderId="27" applyNumberFormat="0" applyAlignment="0" applyProtection="0"/>
    <xf numFmtId="170" fontId="29" fillId="129" borderId="27" applyNumberFormat="0" applyAlignment="0" applyProtection="0"/>
    <xf numFmtId="0" fontId="109" fillId="129" borderId="27" applyNumberFormat="0" applyAlignment="0" applyProtection="0"/>
    <xf numFmtId="170" fontId="29" fillId="129" borderId="27" applyNumberFormat="0" applyAlignment="0" applyProtection="0"/>
    <xf numFmtId="170" fontId="29" fillId="129" borderId="27" applyNumberFormat="0" applyAlignment="0" applyProtection="0"/>
    <xf numFmtId="0" fontId="109" fillId="129" borderId="27" applyNumberFormat="0" applyAlignment="0" applyProtection="0"/>
    <xf numFmtId="170" fontId="29" fillId="130" borderId="27" applyNumberFormat="0" applyAlignment="0" applyProtection="0"/>
    <xf numFmtId="0" fontId="109" fillId="129" borderId="27" applyNumberFormat="0" applyAlignment="0" applyProtection="0"/>
    <xf numFmtId="170" fontId="29" fillId="130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" fillId="6" borderId="5" applyNumberFormat="0" applyAlignment="0" applyProtection="0"/>
    <xf numFmtId="0" fontId="109" fillId="129" borderId="27" applyNumberFormat="0" applyAlignment="0" applyProtection="0"/>
    <xf numFmtId="17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09" fillId="129" borderId="27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1" fillId="92" borderId="23" applyNumberFormat="0" applyAlignment="0" applyProtection="0"/>
    <xf numFmtId="0" fontId="111" fillId="92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170" fontId="29" fillId="129" borderId="23" applyNumberFormat="0" applyAlignment="0" applyProtection="0"/>
    <xf numFmtId="170" fontId="29" fillId="129" borderId="23" applyNumberFormat="0" applyAlignment="0" applyProtection="0"/>
    <xf numFmtId="0" fontId="110" fillId="129" borderId="23" applyNumberFormat="0" applyAlignment="0" applyProtection="0"/>
    <xf numFmtId="170" fontId="29" fillId="129" borderId="23" applyNumberFormat="0" applyAlignment="0" applyProtection="0"/>
    <xf numFmtId="170" fontId="29" fillId="129" borderId="23" applyNumberFormat="0" applyAlignment="0" applyProtection="0"/>
    <xf numFmtId="0" fontId="110" fillId="129" borderId="23" applyNumberFormat="0" applyAlignment="0" applyProtection="0"/>
    <xf numFmtId="170" fontId="29" fillId="129" borderId="23" applyNumberFormat="0" applyAlignment="0" applyProtection="0"/>
    <xf numFmtId="170" fontId="29" fillId="129" borderId="23" applyNumberFormat="0" applyAlignment="0" applyProtection="0"/>
    <xf numFmtId="0" fontId="110" fillId="129" borderId="23" applyNumberFormat="0" applyAlignment="0" applyProtection="0"/>
    <xf numFmtId="170" fontId="29" fillId="129" borderId="23" applyNumberFormat="0" applyAlignment="0" applyProtection="0"/>
    <xf numFmtId="170" fontId="29" fillId="129" borderId="23" applyNumberFormat="0" applyAlignment="0" applyProtection="0"/>
    <xf numFmtId="0" fontId="110" fillId="129" borderId="23" applyNumberFormat="0" applyAlignment="0" applyProtection="0"/>
    <xf numFmtId="170" fontId="29" fillId="130" borderId="23" applyNumberFormat="0" applyAlignment="0" applyProtection="0"/>
    <xf numFmtId="0" fontId="110" fillId="129" borderId="23" applyNumberFormat="0" applyAlignment="0" applyProtection="0"/>
    <xf numFmtId="170" fontId="29" fillId="130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" fillId="6" borderId="4" applyNumberFormat="0" applyAlignment="0" applyProtection="0"/>
    <xf numFmtId="0" fontId="110" fillId="129" borderId="23" applyNumberFormat="0" applyAlignment="0" applyProtection="0"/>
    <xf numFmtId="17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0" fillId="129" borderId="23" applyNumberFormat="0" applyAlignment="0" applyProtection="0"/>
    <xf numFmtId="0" fontId="112" fillId="0" borderId="0" applyNumberFormat="0" applyFill="0" applyBorder="0" applyAlignment="0" applyProtection="0">
      <alignment vertical="top"/>
      <protection locked="0"/>
    </xf>
    <xf numFmtId="187" fontId="45" fillId="0" borderId="0"/>
    <xf numFmtId="0" fontId="113" fillId="0" borderId="0" applyBorder="0">
      <alignment horizontal="center" vertical="center" wrapText="1"/>
    </xf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5" fillId="0" borderId="38" applyNumberFormat="0" applyFill="0" applyAlignment="0" applyProtection="0"/>
    <xf numFmtId="0" fontId="3" fillId="0" borderId="1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170" fontId="29" fillId="0" borderId="37" applyNumberFormat="0" applyFill="0" applyAlignment="0" applyProtection="0"/>
    <xf numFmtId="0" fontId="114" fillId="0" borderId="37" applyNumberFormat="0" applyFill="0" applyAlignment="0" applyProtection="0"/>
    <xf numFmtId="170" fontId="29" fillId="0" borderId="37" applyNumberFormat="0" applyFill="0" applyAlignment="0" applyProtection="0"/>
    <xf numFmtId="0" fontId="114" fillId="0" borderId="37" applyNumberFormat="0" applyFill="0" applyAlignment="0" applyProtection="0"/>
    <xf numFmtId="170" fontId="29" fillId="0" borderId="37" applyNumberFormat="0" applyFill="0" applyAlignment="0" applyProtection="0"/>
    <xf numFmtId="0" fontId="114" fillId="0" borderId="37" applyNumberFormat="0" applyFill="0" applyAlignment="0" applyProtection="0"/>
    <xf numFmtId="170" fontId="29" fillId="0" borderId="37" applyNumberFormat="0" applyFill="0" applyAlignment="0" applyProtection="0"/>
    <xf numFmtId="0" fontId="114" fillId="0" borderId="37" applyNumberFormat="0" applyFill="0" applyAlignment="0" applyProtection="0"/>
    <xf numFmtId="170" fontId="29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17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4" fillId="0" borderId="37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4" fillId="0" borderId="2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170" fontId="29" fillId="0" borderId="39" applyNumberFormat="0" applyFill="0" applyAlignment="0" applyProtection="0"/>
    <xf numFmtId="0" fontId="116" fillId="0" borderId="39" applyNumberFormat="0" applyFill="0" applyAlignment="0" applyProtection="0"/>
    <xf numFmtId="170" fontId="29" fillId="0" borderId="39" applyNumberFormat="0" applyFill="0" applyAlignment="0" applyProtection="0"/>
    <xf numFmtId="0" fontId="116" fillId="0" borderId="39" applyNumberFormat="0" applyFill="0" applyAlignment="0" applyProtection="0"/>
    <xf numFmtId="170" fontId="29" fillId="0" borderId="39" applyNumberFormat="0" applyFill="0" applyAlignment="0" applyProtection="0"/>
    <xf numFmtId="0" fontId="116" fillId="0" borderId="39" applyNumberFormat="0" applyFill="0" applyAlignment="0" applyProtection="0"/>
    <xf numFmtId="170" fontId="29" fillId="0" borderId="39" applyNumberFormat="0" applyFill="0" applyAlignment="0" applyProtection="0"/>
    <xf numFmtId="0" fontId="116" fillId="0" borderId="39" applyNumberFormat="0" applyFill="0" applyAlignment="0" applyProtection="0"/>
    <xf numFmtId="170" fontId="118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17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6" fillId="0" borderId="39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66" fillId="0" borderId="22" applyNumberFormat="0" applyFill="0" applyAlignment="0" applyProtection="0"/>
    <xf numFmtId="0" fontId="5" fillId="0" borderId="3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170" fontId="29" fillId="0" borderId="40" applyNumberFormat="0" applyFill="0" applyAlignment="0" applyProtection="0"/>
    <xf numFmtId="0" fontId="119" fillId="0" borderId="40" applyNumberFormat="0" applyFill="0" applyAlignment="0" applyProtection="0"/>
    <xf numFmtId="170" fontId="29" fillId="0" borderId="40" applyNumberFormat="0" applyFill="0" applyAlignment="0" applyProtection="0"/>
    <xf numFmtId="0" fontId="119" fillId="0" borderId="40" applyNumberFormat="0" applyFill="0" applyAlignment="0" applyProtection="0"/>
    <xf numFmtId="170" fontId="29" fillId="0" borderId="40" applyNumberFormat="0" applyFill="0" applyAlignment="0" applyProtection="0"/>
    <xf numFmtId="0" fontId="119" fillId="0" borderId="40" applyNumberFormat="0" applyFill="0" applyAlignment="0" applyProtection="0"/>
    <xf numFmtId="170" fontId="29" fillId="0" borderId="40" applyNumberFormat="0" applyFill="0" applyAlignment="0" applyProtection="0"/>
    <xf numFmtId="0" fontId="119" fillId="0" borderId="40" applyNumberFormat="0" applyFill="0" applyAlignment="0" applyProtection="0"/>
    <xf numFmtId="170" fontId="2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17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40" applyNumberFormat="0" applyFill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7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170" fontId="120" fillId="0" borderId="0" applyBorder="0">
      <alignment horizontal="center" vertical="center" wrapText="1"/>
    </xf>
    <xf numFmtId="0" fontId="121" fillId="0" borderId="41" applyBorder="0">
      <alignment horizontal="center" vertical="center" wrapText="1"/>
    </xf>
    <xf numFmtId="170" fontId="122" fillId="0" borderId="41" applyBorder="0">
      <alignment horizontal="center" vertical="center" wrapText="1"/>
    </xf>
    <xf numFmtId="170" fontId="122" fillId="0" borderId="41" applyBorder="0">
      <alignment horizontal="center" vertical="center" wrapText="1"/>
    </xf>
    <xf numFmtId="174" fontId="52" fillId="80" borderId="20"/>
    <xf numFmtId="174" fontId="123" fillId="80" borderId="20"/>
    <xf numFmtId="4" fontId="124" fillId="24" borderId="15" applyBorder="0">
      <alignment horizontal="right"/>
    </xf>
    <xf numFmtId="4" fontId="125" fillId="24" borderId="15" applyBorder="0">
      <alignment horizontal="right"/>
    </xf>
    <xf numFmtId="4" fontId="125" fillId="24" borderId="15" applyBorder="0">
      <alignment horizontal="right"/>
    </xf>
    <xf numFmtId="49" fontId="61" fillId="0" borderId="0" applyBorder="0">
      <alignment vertical="center"/>
    </xf>
    <xf numFmtId="49" fontId="126" fillId="0" borderId="0" applyBorder="0">
      <alignment vertical="center"/>
    </xf>
    <xf numFmtId="0" fontId="127" fillId="0" borderId="0">
      <alignment horizontal="left"/>
    </xf>
    <xf numFmtId="0" fontId="128" fillId="22" borderId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59" fillId="0" borderId="43" applyNumberFormat="0" applyFill="0" applyAlignment="0" applyProtection="0"/>
    <xf numFmtId="0" fontId="59" fillId="0" borderId="43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170" fontId="29" fillId="0" borderId="42" applyNumberFormat="0" applyFill="0" applyAlignment="0" applyProtection="0"/>
    <xf numFmtId="170" fontId="29" fillId="0" borderId="42" applyNumberFormat="0" applyFill="0" applyAlignment="0" applyProtection="0"/>
    <xf numFmtId="0" fontId="129" fillId="0" borderId="42" applyNumberFormat="0" applyFill="0" applyAlignment="0" applyProtection="0"/>
    <xf numFmtId="170" fontId="29" fillId="0" borderId="42" applyNumberFormat="0" applyFill="0" applyAlignment="0" applyProtection="0"/>
    <xf numFmtId="170" fontId="29" fillId="0" borderId="42" applyNumberFormat="0" applyFill="0" applyAlignment="0" applyProtection="0"/>
    <xf numFmtId="0" fontId="129" fillId="0" borderId="42" applyNumberFormat="0" applyFill="0" applyAlignment="0" applyProtection="0"/>
    <xf numFmtId="170" fontId="29" fillId="0" borderId="42" applyNumberFormat="0" applyFill="0" applyAlignment="0" applyProtection="0"/>
    <xf numFmtId="170" fontId="29" fillId="0" borderId="42" applyNumberFormat="0" applyFill="0" applyAlignment="0" applyProtection="0"/>
    <xf numFmtId="0" fontId="129" fillId="0" borderId="42" applyNumberFormat="0" applyFill="0" applyAlignment="0" applyProtection="0"/>
    <xf numFmtId="170" fontId="29" fillId="0" borderId="42" applyNumberFormat="0" applyFill="0" applyAlignment="0" applyProtection="0"/>
    <xf numFmtId="170" fontId="29" fillId="0" borderId="42" applyNumberFormat="0" applyFill="0" applyAlignment="0" applyProtection="0"/>
    <xf numFmtId="0" fontId="129" fillId="0" borderId="42" applyNumberFormat="0" applyFill="0" applyAlignment="0" applyProtection="0"/>
    <xf numFmtId="170" fontId="29" fillId="0" borderId="42" applyNumberFormat="0" applyFill="0" applyAlignment="0" applyProtection="0"/>
    <xf numFmtId="0" fontId="129" fillId="0" borderId="42" applyNumberFormat="0" applyFill="0" applyAlignment="0" applyProtection="0"/>
    <xf numFmtId="170" fontId="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6" fillId="0" borderId="9" applyNumberFormat="0" applyFill="0" applyAlignment="0" applyProtection="0"/>
    <xf numFmtId="0" fontId="129" fillId="0" borderId="42" applyNumberFormat="0" applyFill="0" applyAlignment="0" applyProtection="0"/>
    <xf numFmtId="17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29" fillId="0" borderId="42" applyNumberFormat="0" applyFill="0" applyAlignment="0" applyProtection="0"/>
    <xf numFmtId="0" fontId="105" fillId="0" borderId="0">
      <alignment horizontal="right" vertical="top" wrapText="1"/>
    </xf>
    <xf numFmtId="3" fontId="52" fillId="0" borderId="15" applyBorder="0">
      <alignment vertical="center"/>
    </xf>
    <xf numFmtId="3" fontId="123" fillId="0" borderId="15" applyBorder="0">
      <alignment vertical="center"/>
    </xf>
    <xf numFmtId="3" fontId="123" fillId="0" borderId="15" applyBorder="0">
      <alignment vertical="center"/>
    </xf>
    <xf numFmtId="0" fontId="10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5" fillId="0" borderId="0"/>
    <xf numFmtId="0" fontId="10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05" fillId="0" borderId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50" fillId="65" borderId="21" applyNumberFormat="0" applyAlignment="0" applyProtection="0"/>
    <xf numFmtId="0" fontId="13" fillId="7" borderId="7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170" fontId="29" fillId="131" borderId="21" applyNumberFormat="0" applyAlignment="0" applyProtection="0"/>
    <xf numFmtId="0" fontId="130" fillId="131" borderId="21" applyNumberFormat="0" applyAlignment="0" applyProtection="0"/>
    <xf numFmtId="170" fontId="29" fillId="131" borderId="21" applyNumberFormat="0" applyAlignment="0" applyProtection="0"/>
    <xf numFmtId="0" fontId="130" fillId="131" borderId="21" applyNumberFormat="0" applyAlignment="0" applyProtection="0"/>
    <xf numFmtId="170" fontId="29" fillId="131" borderId="21" applyNumberFormat="0" applyAlignment="0" applyProtection="0"/>
    <xf numFmtId="0" fontId="130" fillId="131" borderId="21" applyNumberFormat="0" applyAlignment="0" applyProtection="0"/>
    <xf numFmtId="170" fontId="29" fillId="131" borderId="21" applyNumberFormat="0" applyAlignment="0" applyProtection="0"/>
    <xf numFmtId="0" fontId="130" fillId="131" borderId="21" applyNumberFormat="0" applyAlignment="0" applyProtection="0"/>
    <xf numFmtId="170" fontId="29" fillId="132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17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30" fillId="131" borderId="21" applyNumberFormat="0" applyAlignment="0" applyProtection="0"/>
    <xf numFmtId="0" fontId="105" fillId="0" borderId="15">
      <alignment horizontal="center" wrapText="1"/>
    </xf>
    <xf numFmtId="0" fontId="105" fillId="0" borderId="15" applyFill="0" applyProtection="0">
      <alignment horizontal="center"/>
    </xf>
    <xf numFmtId="0" fontId="105" fillId="0" borderId="15">
      <alignment horizontal="center" wrapText="1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>
      <alignment horizontal="center" vertical="top" wrapText="1"/>
    </xf>
    <xf numFmtId="170" fontId="131" fillId="0" borderId="0">
      <alignment horizontal="center" vertical="top" wrapText="1"/>
    </xf>
    <xf numFmtId="0" fontId="132" fillId="0" borderId="0">
      <alignment horizontal="center" vertical="center" wrapText="1"/>
    </xf>
    <xf numFmtId="0" fontId="132" fillId="0" borderId="0">
      <alignment horizontal="centerContinuous" vertical="center" wrapText="1"/>
    </xf>
    <xf numFmtId="170" fontId="105" fillId="0" borderId="0">
      <alignment horizontal="center" vertical="center" wrapText="1"/>
    </xf>
    <xf numFmtId="0" fontId="133" fillId="23" borderId="0" applyFill="0">
      <alignment wrapText="1"/>
    </xf>
    <xf numFmtId="0" fontId="133" fillId="23" borderId="0" applyFill="0">
      <alignment wrapText="1"/>
    </xf>
    <xf numFmtId="0" fontId="133" fillId="23" borderId="0" applyFill="0">
      <alignment wrapText="1"/>
    </xf>
    <xf numFmtId="0" fontId="133" fillId="23" borderId="0" applyFill="0">
      <alignment wrapText="1"/>
    </xf>
    <xf numFmtId="170" fontId="134" fillId="23" borderId="0" applyFill="0">
      <alignment wrapText="1"/>
    </xf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17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74" fillId="74" borderId="0" applyNumberFormat="0" applyBorder="0" applyAlignment="0" applyProtection="0"/>
    <xf numFmtId="0" fontId="8" fillId="4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170" fontId="29" fillId="93" borderId="0" applyNumberFormat="0" applyBorder="0" applyAlignment="0" applyProtection="0"/>
    <xf numFmtId="0" fontId="137" fillId="93" borderId="0" applyNumberFormat="0" applyBorder="0" applyAlignment="0" applyProtection="0"/>
    <xf numFmtId="170" fontId="29" fillId="93" borderId="0" applyNumberFormat="0" applyBorder="0" applyAlignment="0" applyProtection="0"/>
    <xf numFmtId="0" fontId="137" fillId="93" borderId="0" applyNumberFormat="0" applyBorder="0" applyAlignment="0" applyProtection="0"/>
    <xf numFmtId="170" fontId="29" fillId="93" borderId="0" applyNumberFormat="0" applyBorder="0" applyAlignment="0" applyProtection="0"/>
    <xf numFmtId="0" fontId="137" fillId="93" borderId="0" applyNumberFormat="0" applyBorder="0" applyAlignment="0" applyProtection="0"/>
    <xf numFmtId="170" fontId="29" fillId="93" borderId="0" applyNumberFormat="0" applyBorder="0" applyAlignment="0" applyProtection="0"/>
    <xf numFmtId="0" fontId="137" fillId="93" borderId="0" applyNumberFormat="0" applyBorder="0" applyAlignment="0" applyProtection="0"/>
    <xf numFmtId="170" fontId="138" fillId="13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17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137" fillId="93" borderId="0" applyNumberFormat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170" fontId="45" fillId="0" borderId="0"/>
    <xf numFmtId="0" fontId="139" fillId="0" borderId="0"/>
    <xf numFmtId="0" fontId="45" fillId="0" borderId="0"/>
    <xf numFmtId="170" fontId="45" fillId="0" borderId="0"/>
    <xf numFmtId="0" fontId="13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29" fillId="0" borderId="0"/>
    <xf numFmtId="170" fontId="45" fillId="0" borderId="0"/>
    <xf numFmtId="0" fontId="139" fillId="0" borderId="0"/>
    <xf numFmtId="0" fontId="29" fillId="0" borderId="0"/>
    <xf numFmtId="170" fontId="45" fillId="0" borderId="0"/>
    <xf numFmtId="0" fontId="29" fillId="0" borderId="0"/>
    <xf numFmtId="0" fontId="29" fillId="0" borderId="0"/>
    <xf numFmtId="0" fontId="29" fillId="0" borderId="0"/>
    <xf numFmtId="0" fontId="45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45" fillId="0" borderId="0"/>
    <xf numFmtId="170" fontId="45" fillId="0" borderId="0"/>
    <xf numFmtId="0" fontId="29" fillId="0" borderId="0"/>
    <xf numFmtId="170" fontId="45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29" fillId="0" borderId="0"/>
    <xf numFmtId="0" fontId="36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45" fillId="0" borderId="0"/>
    <xf numFmtId="0" fontId="139" fillId="0" borderId="0"/>
    <xf numFmtId="170" fontId="45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" fillId="0" borderId="0"/>
    <xf numFmtId="170" fontId="45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29" fillId="0" borderId="0"/>
    <xf numFmtId="0" fontId="45" fillId="0" borderId="0"/>
    <xf numFmtId="170" fontId="45" fillId="0" borderId="0"/>
    <xf numFmtId="170" fontId="45" fillId="0" borderId="0"/>
    <xf numFmtId="0" fontId="7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39" fillId="0" borderId="0"/>
    <xf numFmtId="0" fontId="139" fillId="0" borderId="0"/>
    <xf numFmtId="0" fontId="30" fillId="0" borderId="0"/>
    <xf numFmtId="0" fontId="139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17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70" fontId="8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170" fontId="106" fillId="0" borderId="0"/>
    <xf numFmtId="0" fontId="29" fillId="0" borderId="0"/>
    <xf numFmtId="0" fontId="36" fillId="0" borderId="0"/>
    <xf numFmtId="170" fontId="106" fillId="0" borderId="0"/>
    <xf numFmtId="0" fontId="29" fillId="0" borderId="0"/>
    <xf numFmtId="0" fontId="29" fillId="0" borderId="0"/>
    <xf numFmtId="170" fontId="106" fillId="0" borderId="0"/>
    <xf numFmtId="0" fontId="78" fillId="0" borderId="0"/>
    <xf numFmtId="0" fontId="36" fillId="0" borderId="0"/>
    <xf numFmtId="170" fontId="106" fillId="0" borderId="0"/>
    <xf numFmtId="0" fontId="36" fillId="0" borderId="0"/>
    <xf numFmtId="170" fontId="106" fillId="0" borderId="0"/>
    <xf numFmtId="0" fontId="36" fillId="0" borderId="0"/>
    <xf numFmtId="170" fontId="106" fillId="0" borderId="0"/>
    <xf numFmtId="0" fontId="36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1" fillId="0" borderId="0"/>
    <xf numFmtId="0" fontId="3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45" fillId="0" borderId="0"/>
    <xf numFmtId="170" fontId="106" fillId="0" borderId="0"/>
    <xf numFmtId="170" fontId="89" fillId="0" borderId="0"/>
    <xf numFmtId="0" fontId="29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170" fontId="106" fillId="0" borderId="0"/>
    <xf numFmtId="0" fontId="29" fillId="0" borderId="0"/>
    <xf numFmtId="170" fontId="141" fillId="0" borderId="0"/>
    <xf numFmtId="0" fontId="29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170" fontId="141" fillId="0" borderId="0"/>
    <xf numFmtId="0" fontId="1" fillId="0" borderId="0"/>
    <xf numFmtId="0" fontId="29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1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29" fillId="0" borderId="0"/>
    <xf numFmtId="170" fontId="106" fillId="0" borderId="0"/>
    <xf numFmtId="0" fontId="30" fillId="0" borderId="0"/>
    <xf numFmtId="170" fontId="106" fillId="0" borderId="0"/>
    <xf numFmtId="170" fontId="106" fillId="0" borderId="0"/>
    <xf numFmtId="0" fontId="29" fillId="0" borderId="0"/>
    <xf numFmtId="170" fontId="106" fillId="0" borderId="0"/>
    <xf numFmtId="170" fontId="106" fillId="0" borderId="0"/>
    <xf numFmtId="0" fontId="29" fillId="0" borderId="0"/>
    <xf numFmtId="170" fontId="106" fillId="0" borderId="0"/>
    <xf numFmtId="170" fontId="106" fillId="0" borderId="0"/>
    <xf numFmtId="0" fontId="29" fillId="0" borderId="0"/>
    <xf numFmtId="170" fontId="29" fillId="0" borderId="0"/>
    <xf numFmtId="0" fontId="29" fillId="0" borderId="0"/>
    <xf numFmtId="0" fontId="36" fillId="0" borderId="0"/>
    <xf numFmtId="0" fontId="29" fillId="0" borderId="0"/>
    <xf numFmtId="0" fontId="29" fillId="0" borderId="0"/>
    <xf numFmtId="0" fontId="36" fillId="0" borderId="0"/>
    <xf numFmtId="0" fontId="45" fillId="0" borderId="0"/>
    <xf numFmtId="170" fontId="106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170" fontId="106" fillId="0" borderId="0"/>
    <xf numFmtId="0" fontId="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70" fontId="106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170" fontId="106" fillId="0" borderId="0"/>
    <xf numFmtId="0" fontId="78" fillId="0" borderId="0"/>
    <xf numFmtId="0" fontId="7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170" fontId="10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170" fontId="106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78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170" fontId="78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5" fillId="134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170" fontId="78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29" fillId="0" borderId="0"/>
    <xf numFmtId="0" fontId="36" fillId="0" borderId="0"/>
    <xf numFmtId="0" fontId="3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78" fillId="0" borderId="0"/>
    <xf numFmtId="0" fontId="36" fillId="0" borderId="0"/>
    <xf numFmtId="0" fontId="30" fillId="0" borderId="0"/>
    <xf numFmtId="0" fontId="45" fillId="0" borderId="0"/>
    <xf numFmtId="170" fontId="106" fillId="0" borderId="0"/>
    <xf numFmtId="0" fontId="104" fillId="0" borderId="0">
      <alignment vertical="center"/>
    </xf>
    <xf numFmtId="0" fontId="30" fillId="0" borderId="0"/>
    <xf numFmtId="170" fontId="106" fillId="0" borderId="0"/>
    <xf numFmtId="0" fontId="139" fillId="0" borderId="0"/>
    <xf numFmtId="0" fontId="139" fillId="0" borderId="0"/>
    <xf numFmtId="0" fontId="29" fillId="0" borderId="0"/>
    <xf numFmtId="0" fontId="45" fillId="0" borderId="0"/>
    <xf numFmtId="170" fontId="106" fillId="0" borderId="0"/>
    <xf numFmtId="0" fontId="30" fillId="0" borderId="0"/>
    <xf numFmtId="0" fontId="45" fillId="0" borderId="0"/>
    <xf numFmtId="170" fontId="106" fillId="0" borderId="0"/>
    <xf numFmtId="0" fontId="139" fillId="0" borderId="0"/>
    <xf numFmtId="170" fontId="106" fillId="0" borderId="0"/>
    <xf numFmtId="170" fontId="106" fillId="0" borderId="0"/>
    <xf numFmtId="170" fontId="106" fillId="0" borderId="0"/>
    <xf numFmtId="0" fontId="30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45" fillId="0" borderId="0"/>
    <xf numFmtId="0" fontId="139" fillId="0" borderId="0"/>
    <xf numFmtId="0" fontId="139" fillId="0" borderId="0"/>
    <xf numFmtId="170" fontId="141" fillId="0" borderId="0"/>
    <xf numFmtId="0" fontId="139" fillId="0" borderId="0"/>
    <xf numFmtId="0" fontId="139" fillId="0" borderId="0"/>
    <xf numFmtId="0" fontId="1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45" fillId="0" borderId="0"/>
    <xf numFmtId="170" fontId="45" fillId="0" borderId="0"/>
    <xf numFmtId="0" fontId="139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0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39" fillId="0" borderId="0"/>
    <xf numFmtId="0" fontId="139" fillId="0" borderId="0"/>
    <xf numFmtId="170" fontId="106" fillId="0" borderId="0"/>
    <xf numFmtId="0" fontId="139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170" fontId="106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6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2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43" fillId="0" borderId="0"/>
    <xf numFmtId="0" fontId="1" fillId="0" borderId="0"/>
    <xf numFmtId="170" fontId="143" fillId="0" borderId="0"/>
    <xf numFmtId="0" fontId="1" fillId="0" borderId="0"/>
    <xf numFmtId="170" fontId="143" fillId="0" borderId="0"/>
    <xf numFmtId="0" fontId="1" fillId="0" borderId="0"/>
    <xf numFmtId="170" fontId="143" fillId="0" borderId="0"/>
    <xf numFmtId="0" fontId="1" fillId="0" borderId="0"/>
    <xf numFmtId="170" fontId="89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89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89" fillId="0" borderId="0"/>
    <xf numFmtId="0" fontId="1" fillId="0" borderId="0"/>
    <xf numFmtId="170" fontId="89" fillId="0" borderId="0"/>
    <xf numFmtId="0" fontId="1" fillId="0" borderId="0"/>
    <xf numFmtId="170" fontId="89" fillId="0" borderId="0"/>
    <xf numFmtId="0" fontId="1" fillId="0" borderId="0"/>
    <xf numFmtId="0" fontId="36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49" fontId="124" fillId="0" borderId="0" applyBorder="0">
      <alignment vertical="top"/>
    </xf>
    <xf numFmtId="0" fontId="30" fillId="0" borderId="0"/>
    <xf numFmtId="0" fontId="30" fillId="0" borderId="0"/>
    <xf numFmtId="0" fontId="30" fillId="0" borderId="0"/>
    <xf numFmtId="0" fontId="139" fillId="0" borderId="0"/>
    <xf numFmtId="0" fontId="139" fillId="0" borderId="0"/>
    <xf numFmtId="170" fontId="8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42" fillId="0" borderId="0"/>
    <xf numFmtId="0" fontId="1" fillId="0" borderId="0"/>
    <xf numFmtId="0" fontId="45" fillId="0" borderId="0"/>
    <xf numFmtId="170" fontId="45" fillId="0" borderId="0"/>
    <xf numFmtId="0" fontId="29" fillId="0" borderId="0"/>
    <xf numFmtId="0" fontId="29" fillId="0" borderId="0"/>
    <xf numFmtId="188" fontId="25" fillId="0" borderId="0">
      <alignment vertical="top"/>
    </xf>
    <xf numFmtId="0" fontId="29" fillId="0" borderId="0"/>
    <xf numFmtId="170" fontId="45" fillId="0" borderId="0"/>
    <xf numFmtId="0" fontId="78" fillId="0" borderId="0"/>
    <xf numFmtId="0" fontId="29" fillId="0" borderId="0"/>
    <xf numFmtId="0" fontId="78" fillId="0" borderId="0"/>
    <xf numFmtId="0" fontId="78" fillId="0" borderId="0"/>
    <xf numFmtId="0" fontId="30" fillId="0" borderId="0"/>
    <xf numFmtId="0" fontId="30" fillId="0" borderId="0"/>
    <xf numFmtId="0" fontId="30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29" fillId="0" borderId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142" fillId="0" borderId="0"/>
    <xf numFmtId="0" fontId="29" fillId="0" borderId="0"/>
    <xf numFmtId="0" fontId="45" fillId="0" borderId="0"/>
    <xf numFmtId="170" fontId="45" fillId="0" borderId="0"/>
    <xf numFmtId="0" fontId="29" fillId="0" borderId="0"/>
    <xf numFmtId="0" fontId="1" fillId="0" borderId="0"/>
    <xf numFmtId="170" fontId="45" fillId="0" borderId="0"/>
    <xf numFmtId="0" fontId="78" fillId="0" borderId="0"/>
    <xf numFmtId="0" fontId="29" fillId="0" borderId="0"/>
    <xf numFmtId="0" fontId="7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29" fillId="0" borderId="0" applyProtection="0"/>
    <xf numFmtId="0" fontId="45" fillId="0" borderId="0"/>
    <xf numFmtId="170" fontId="45" fillId="0" borderId="0"/>
    <xf numFmtId="0" fontId="29" fillId="0" borderId="0"/>
    <xf numFmtId="170" fontId="45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36" fillId="0" borderId="0"/>
    <xf numFmtId="0" fontId="1" fillId="0" borderId="0"/>
    <xf numFmtId="0" fontId="105" fillId="0" borderId="0"/>
    <xf numFmtId="0" fontId="105" fillId="0" borderId="15">
      <alignment horizontal="center" wrapText="1"/>
    </xf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47" fillId="63" borderId="0" applyNumberFormat="0" applyBorder="0" applyAlignment="0" applyProtection="0"/>
    <xf numFmtId="0" fontId="7" fillId="3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170" fontId="29" fillId="28" borderId="0" applyNumberFormat="0" applyBorder="0" applyAlignment="0" applyProtection="0"/>
    <xf numFmtId="0" fontId="144" fillId="28" borderId="0" applyNumberFormat="0" applyBorder="0" applyAlignment="0" applyProtection="0"/>
    <xf numFmtId="170" fontId="29" fillId="28" borderId="0" applyNumberFormat="0" applyBorder="0" applyAlignment="0" applyProtection="0"/>
    <xf numFmtId="0" fontId="144" fillId="28" borderId="0" applyNumberFormat="0" applyBorder="0" applyAlignment="0" applyProtection="0"/>
    <xf numFmtId="170" fontId="29" fillId="28" borderId="0" applyNumberFormat="0" applyBorder="0" applyAlignment="0" applyProtection="0"/>
    <xf numFmtId="0" fontId="144" fillId="28" borderId="0" applyNumberFormat="0" applyBorder="0" applyAlignment="0" applyProtection="0"/>
    <xf numFmtId="170" fontId="29" fillId="28" borderId="0" applyNumberFormat="0" applyBorder="0" applyAlignment="0" applyProtection="0"/>
    <xf numFmtId="0" fontId="144" fillId="28" borderId="0" applyNumberFormat="0" applyBorder="0" applyAlignment="0" applyProtection="0"/>
    <xf numFmtId="170" fontId="29" fillId="29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17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144" fillId="28" borderId="0" applyNumberFormat="0" applyBorder="0" applyAlignment="0" applyProtection="0"/>
    <xf numFmtId="0" fontId="29" fillId="0" borderId="0" applyFont="0" applyFill="0" applyBorder="0" applyProtection="0">
      <alignment horizontal="center" vertical="center" wrapText="1"/>
    </xf>
    <xf numFmtId="0" fontId="29" fillId="0" borderId="0" applyNumberFormat="0" applyFont="0" applyFill="0" applyBorder="0" applyProtection="0">
      <alignment horizontal="justify" vertical="center" wrapText="1"/>
    </xf>
    <xf numFmtId="189" fontId="145" fillId="24" borderId="44" applyNumberFormat="0" applyBorder="0" applyAlignment="0">
      <alignment vertical="center"/>
      <protection locked="0"/>
    </xf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30" fillId="73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0" fillId="73" borderId="26" applyNumberFormat="0" applyFont="0" applyAlignment="0" applyProtection="0"/>
    <xf numFmtId="0" fontId="29" fillId="91" borderId="26" applyNumberFormat="0" applyFont="0" applyAlignment="0" applyProtection="0"/>
    <xf numFmtId="0" fontId="29" fillId="91" borderId="26" applyNumberFormat="0" applyFont="0" applyAlignment="0" applyProtection="0"/>
    <xf numFmtId="0" fontId="29" fillId="91" borderId="26" applyNumberFormat="0" applyFont="0" applyAlignment="0" applyProtection="0"/>
    <xf numFmtId="0" fontId="29" fillId="91" borderId="26" applyNumberFormat="0" applyFont="0" applyAlignment="0" applyProtection="0"/>
    <xf numFmtId="0" fontId="36" fillId="91" borderId="26" applyNumberFormat="0" applyFont="0" applyAlignment="0" applyProtection="0"/>
    <xf numFmtId="0" fontId="29" fillId="91" borderId="26" applyNumberFormat="0" applyFont="0" applyAlignment="0" applyProtection="0"/>
    <xf numFmtId="0" fontId="36" fillId="91" borderId="26" applyNumberFormat="0" applyFont="0" applyAlignment="0" applyProtection="0"/>
    <xf numFmtId="170" fontId="89" fillId="91" borderId="26" applyNumberFormat="0" applyFont="0" applyAlignment="0" applyProtection="0"/>
    <xf numFmtId="170" fontId="89" fillId="91" borderId="26" applyNumberFormat="0" applyFont="0" applyAlignment="0" applyProtection="0"/>
    <xf numFmtId="0" fontId="36" fillId="91" borderId="26" applyNumberFormat="0" applyFont="0" applyAlignment="0" applyProtection="0"/>
    <xf numFmtId="0" fontId="29" fillId="91" borderId="26" applyNumberFormat="0" applyFont="0" applyAlignment="0" applyProtection="0"/>
    <xf numFmtId="170" fontId="89" fillId="91" borderId="26" applyNumberFormat="0" applyFont="0" applyAlignment="0" applyProtection="0"/>
    <xf numFmtId="170" fontId="89" fillId="91" borderId="26" applyNumberFormat="0" applyFont="0" applyAlignment="0" applyProtection="0"/>
    <xf numFmtId="0" fontId="36" fillId="91" borderId="26" applyNumberFormat="0" applyFont="0" applyAlignment="0" applyProtection="0"/>
    <xf numFmtId="0" fontId="29" fillId="91" borderId="26" applyNumberFormat="0" applyFont="0" applyAlignment="0" applyProtection="0"/>
    <xf numFmtId="170" fontId="89" fillId="91" borderId="26" applyNumberFormat="0" applyFont="0" applyAlignment="0" applyProtection="0"/>
    <xf numFmtId="170" fontId="89" fillId="91" borderId="26" applyNumberFormat="0" applyFont="0" applyAlignment="0" applyProtection="0"/>
    <xf numFmtId="0" fontId="29" fillId="91" borderId="26" applyNumberFormat="0" applyFont="0" applyAlignment="0" applyProtection="0"/>
    <xf numFmtId="170" fontId="89" fillId="91" borderId="26" applyNumberFormat="0" applyFont="0" applyAlignment="0" applyProtection="0"/>
    <xf numFmtId="170" fontId="89" fillId="91" borderId="26" applyNumberFormat="0" applyFont="0" applyAlignment="0" applyProtection="0"/>
    <xf numFmtId="0" fontId="29" fillId="91" borderId="26" applyNumberFormat="0" applyFont="0" applyAlignment="0" applyProtection="0"/>
    <xf numFmtId="170" fontId="29" fillId="91" borderId="26" applyNumberFormat="0" applyFont="0" applyAlignment="0" applyProtection="0"/>
    <xf numFmtId="0" fontId="29" fillId="91" borderId="26" applyNumberFormat="0" applyFont="0" applyAlignment="0" applyProtection="0"/>
    <xf numFmtId="170" fontId="29" fillId="91" borderId="26" applyNumberFormat="0" applyFont="0" applyAlignment="0" applyProtection="0"/>
    <xf numFmtId="0" fontId="29" fillId="91" borderId="26" applyNumberFormat="0" applyFont="0" applyAlignment="0" applyProtection="0"/>
    <xf numFmtId="0" fontId="29" fillId="91" borderId="26" applyNumberFormat="0" applyFont="0" applyAlignment="0" applyProtection="0"/>
    <xf numFmtId="0" fontId="29" fillId="91" borderId="26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9" fillId="91" borderId="26" applyNumberFormat="0" applyFont="0" applyAlignment="0" applyProtection="0"/>
    <xf numFmtId="170" fontId="29" fillId="91" borderId="26" applyNumberFormat="0" applyFont="0" applyAlignment="0" applyProtection="0"/>
    <xf numFmtId="170" fontId="29" fillId="91" borderId="26" applyNumberFormat="0" applyFont="0" applyAlignment="0" applyProtection="0"/>
    <xf numFmtId="170" fontId="29" fillId="91" borderId="26" applyNumberFormat="0" applyFont="0" applyAlignment="0" applyProtection="0"/>
    <xf numFmtId="0" fontId="36" fillId="91" borderId="26" applyNumberFormat="0" applyFont="0" applyAlignment="0" applyProtection="0"/>
    <xf numFmtId="170" fontId="29" fillId="91" borderId="26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29" fillId="91" borderId="26" applyNumberFormat="0" applyFont="0" applyAlignment="0" applyProtection="0"/>
    <xf numFmtId="170" fontId="29" fillId="91" borderId="26" applyNumberFormat="0" applyFont="0" applyAlignment="0" applyProtection="0"/>
    <xf numFmtId="170" fontId="29" fillId="91" borderId="26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0" fontId="29" fillId="91" borderId="26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0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30" fillId="0" borderId="0" applyFill="0" applyBorder="0" applyAlignment="0" applyProtection="0"/>
    <xf numFmtId="9" fontId="30" fillId="0" borderId="0" applyFill="0" applyBorder="0" applyAlignment="0" applyProtection="0"/>
    <xf numFmtId="9" fontId="89" fillId="0" borderId="0" applyFill="0" applyBorder="0" applyAlignment="0" applyProtection="0"/>
    <xf numFmtId="9" fontId="29" fillId="0" borderId="0" applyFont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2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9" fillId="0" borderId="0" applyFill="0" applyBorder="0" applyAlignment="0" applyProtection="0"/>
    <xf numFmtId="9" fontId="139" fillId="0" borderId="0" applyFont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30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ill="0" applyBorder="0" applyAlignment="0" applyProtection="0"/>
    <xf numFmtId="9" fontId="30" fillId="0" borderId="0" applyFont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89" fillId="0" borderId="0" applyFill="0" applyBorder="0" applyAlignment="0" applyProtection="0"/>
    <xf numFmtId="9" fontId="30" fillId="0" borderId="0" applyFill="0" applyBorder="0" applyAlignment="0" applyProtection="0"/>
    <xf numFmtId="178" fontId="56" fillId="0" borderId="0" applyFont="0" applyFill="0" applyBorder="0" applyProtection="0">
      <alignment vertical="top"/>
    </xf>
    <xf numFmtId="9" fontId="2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5" fillId="0" borderId="15">
      <alignment horizontal="center"/>
    </xf>
    <xf numFmtId="0" fontId="105" fillId="0" borderId="15">
      <alignment horizontal="center" wrapText="1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73" fillId="0" borderId="25" applyNumberFormat="0" applyFill="0" applyAlignment="0" applyProtection="0"/>
    <xf numFmtId="0" fontId="12" fillId="0" borderId="6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170" fontId="29" fillId="0" borderId="45" applyNumberFormat="0" applyFill="0" applyAlignment="0" applyProtection="0"/>
    <xf numFmtId="0" fontId="148" fillId="0" borderId="45" applyNumberFormat="0" applyFill="0" applyAlignment="0" applyProtection="0"/>
    <xf numFmtId="170" fontId="29" fillId="0" borderId="45" applyNumberFormat="0" applyFill="0" applyAlignment="0" applyProtection="0"/>
    <xf numFmtId="0" fontId="148" fillId="0" borderId="45" applyNumberFormat="0" applyFill="0" applyAlignment="0" applyProtection="0"/>
    <xf numFmtId="170" fontId="29" fillId="0" borderId="45" applyNumberFormat="0" applyFill="0" applyAlignment="0" applyProtection="0"/>
    <xf numFmtId="0" fontId="148" fillId="0" borderId="45" applyNumberFormat="0" applyFill="0" applyAlignment="0" applyProtection="0"/>
    <xf numFmtId="170" fontId="29" fillId="0" borderId="45" applyNumberFormat="0" applyFill="0" applyAlignment="0" applyProtection="0"/>
    <xf numFmtId="0" fontId="148" fillId="0" borderId="45" applyNumberFormat="0" applyFill="0" applyAlignment="0" applyProtection="0"/>
    <xf numFmtId="170" fontId="29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17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148" fillId="0" borderId="45" applyNumberFormat="0" applyFill="0" applyAlignment="0" applyProtection="0"/>
    <xf numFmtId="0" fontId="28" fillId="0" borderId="0"/>
    <xf numFmtId="0" fontId="31" fillId="0" borderId="0"/>
    <xf numFmtId="170" fontId="89" fillId="0" borderId="0"/>
    <xf numFmtId="170" fontId="89" fillId="0" borderId="0"/>
    <xf numFmtId="170" fontId="89" fillId="0" borderId="0"/>
    <xf numFmtId="170" fontId="89" fillId="0" borderId="0"/>
    <xf numFmtId="170" fontId="89" fillId="0" borderId="0"/>
    <xf numFmtId="170" fontId="89" fillId="0" borderId="0"/>
    <xf numFmtId="170" fontId="89" fillId="0" borderId="0"/>
    <xf numFmtId="170" fontId="89" fillId="0" borderId="0"/>
    <xf numFmtId="170" fontId="89" fillId="0" borderId="0"/>
    <xf numFmtId="170" fontId="28" fillId="0" borderId="0"/>
    <xf numFmtId="0" fontId="30" fillId="0" borderId="0"/>
    <xf numFmtId="0" fontId="30" fillId="0" borderId="0"/>
    <xf numFmtId="170" fontId="89" fillId="0" borderId="0"/>
    <xf numFmtId="169" fontId="25" fillId="0" borderId="0">
      <alignment vertical="top"/>
    </xf>
    <xf numFmtId="0" fontId="31" fillId="0" borderId="0"/>
    <xf numFmtId="170" fontId="30" fillId="0" borderId="0"/>
    <xf numFmtId="170" fontId="30" fillId="0" borderId="0"/>
    <xf numFmtId="169" fontId="25" fillId="0" borderId="0">
      <alignment vertical="top"/>
    </xf>
    <xf numFmtId="0" fontId="30" fillId="0" borderId="0"/>
    <xf numFmtId="170" fontId="89" fillId="0" borderId="0"/>
    <xf numFmtId="0" fontId="28" fillId="0" borderId="0"/>
    <xf numFmtId="170" fontId="89" fillId="0" borderId="0"/>
    <xf numFmtId="170" fontId="89" fillId="0" borderId="0"/>
    <xf numFmtId="170" fontId="89" fillId="0" borderId="0"/>
    <xf numFmtId="170" fontId="89" fillId="0" borderId="0"/>
    <xf numFmtId="170" fontId="89" fillId="0" borderId="0"/>
    <xf numFmtId="170" fontId="89" fillId="0" borderId="0"/>
    <xf numFmtId="3" fontId="149" fillId="0" borderId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0" fontId="29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0" fontId="37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49" fontId="133" fillId="0" borderId="0">
      <alignment horizontal="center"/>
    </xf>
    <xf numFmtId="49" fontId="108" fillId="0" borderId="0">
      <alignment horizontal="center"/>
    </xf>
    <xf numFmtId="0" fontId="105" fillId="0" borderId="0">
      <alignment horizontal="center"/>
    </xf>
    <xf numFmtId="0" fontId="105" fillId="0" borderId="15">
      <alignment horizontal="center"/>
    </xf>
    <xf numFmtId="190" fontId="29" fillId="0" borderId="0" applyFont="0" applyFill="0" applyBorder="0" applyAlignment="0" applyProtection="0"/>
    <xf numFmtId="191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92" fontId="2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0" fillId="0" borderId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ill="0" applyBorder="0" applyAlignment="0" applyProtection="0"/>
    <xf numFmtId="166" fontId="30" fillId="0" borderId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93" fontId="89" fillId="0" borderId="0" applyFill="0" applyBorder="0" applyAlignment="0" applyProtection="0"/>
    <xf numFmtId="166" fontId="30" fillId="0" borderId="0" applyFill="0" applyBorder="0" applyAlignment="0" applyProtection="0"/>
    <xf numFmtId="166" fontId="13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0" fillId="0" borderId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7" fontId="30" fillId="0" borderId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66" fontId="40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92" fontId="2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0" fillId="0" borderId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ill="0" applyBorder="0" applyAlignment="0" applyProtection="0"/>
    <xf numFmtId="166" fontId="151" fillId="0" borderId="0" applyFont="0" applyFill="0" applyBorder="0" applyAlignment="0" applyProtection="0"/>
    <xf numFmtId="166" fontId="152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0" fillId="0" borderId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40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4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4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0" fillId="0" borderId="0" applyFill="0" applyBorder="0" applyAlignment="0" applyProtection="0"/>
    <xf numFmtId="166" fontId="30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30" fillId="0" borderId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8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" fontId="124" fillId="23" borderId="0" applyBorder="0">
      <alignment horizontal="right"/>
    </xf>
    <xf numFmtId="4" fontId="124" fillId="23" borderId="0" applyBorder="0">
      <alignment horizontal="right"/>
    </xf>
    <xf numFmtId="4" fontId="125" fillId="23" borderId="0" applyBorder="0">
      <alignment horizontal="right"/>
    </xf>
    <xf numFmtId="4" fontId="124" fillId="23" borderId="0" applyFont="0" applyBorder="0">
      <alignment horizontal="right"/>
    </xf>
    <xf numFmtId="3" fontId="143" fillId="0" borderId="15" applyBorder="0">
      <alignment vertical="center"/>
    </xf>
    <xf numFmtId="3" fontId="153" fillId="0" borderId="15" applyBorder="0">
      <alignment vertical="center"/>
    </xf>
    <xf numFmtId="3" fontId="143" fillId="0" borderId="15" applyBorder="0">
      <alignment vertical="center"/>
    </xf>
    <xf numFmtId="4" fontId="124" fillId="23" borderId="0" applyFont="0" applyBorder="0">
      <alignment horizontal="right"/>
    </xf>
    <xf numFmtId="4" fontId="124" fillId="135" borderId="46" applyBorder="0">
      <alignment horizontal="right"/>
    </xf>
    <xf numFmtId="4" fontId="124" fillId="135" borderId="46" applyBorder="0">
      <alignment horizontal="right"/>
    </xf>
    <xf numFmtId="4" fontId="125" fillId="23" borderId="46" applyBorder="0">
      <alignment horizontal="right"/>
    </xf>
    <xf numFmtId="4" fontId="124" fillId="23" borderId="46" applyBorder="0">
      <alignment horizontal="right"/>
    </xf>
    <xf numFmtId="4" fontId="125" fillId="23" borderId="46" applyBorder="0">
      <alignment horizontal="right"/>
    </xf>
    <xf numFmtId="4" fontId="124" fillId="23" borderId="15" applyFont="0" applyBorder="0">
      <alignment horizontal="right"/>
    </xf>
    <xf numFmtId="4" fontId="124" fillId="23" borderId="15" applyFont="0" applyBorder="0">
      <alignment horizontal="right"/>
    </xf>
    <xf numFmtId="4" fontId="125" fillId="135" borderId="47" applyBorder="0">
      <alignment horizontal="right"/>
    </xf>
    <xf numFmtId="4" fontId="124" fillId="135" borderId="47" applyBorder="0">
      <alignment horizontal="right"/>
    </xf>
    <xf numFmtId="4" fontId="125" fillId="135" borderId="47" applyBorder="0">
      <alignment horizontal="right"/>
    </xf>
    <xf numFmtId="4" fontId="124" fillId="23" borderId="15" applyFont="0" applyBorder="0">
      <alignment horizontal="right"/>
    </xf>
    <xf numFmtId="0" fontId="105" fillId="0" borderId="0">
      <alignment horizontal="left" vertical="top"/>
    </xf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62" fillId="87" borderId="0" applyNumberFormat="0" applyBorder="0" applyAlignment="0" applyProtection="0"/>
    <xf numFmtId="0" fontId="6" fillId="2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170" fontId="29" fillId="30" borderId="0" applyNumberFormat="0" applyBorder="0" applyAlignment="0" applyProtection="0"/>
    <xf numFmtId="0" fontId="154" fillId="30" borderId="0" applyNumberFormat="0" applyBorder="0" applyAlignment="0" applyProtection="0"/>
    <xf numFmtId="170" fontId="29" fillId="30" borderId="0" applyNumberFormat="0" applyBorder="0" applyAlignment="0" applyProtection="0"/>
    <xf numFmtId="0" fontId="154" fillId="30" borderId="0" applyNumberFormat="0" applyBorder="0" applyAlignment="0" applyProtection="0"/>
    <xf numFmtId="170" fontId="29" fillId="30" borderId="0" applyNumberFormat="0" applyBorder="0" applyAlignment="0" applyProtection="0"/>
    <xf numFmtId="0" fontId="154" fillId="30" borderId="0" applyNumberFormat="0" applyBorder="0" applyAlignment="0" applyProtection="0"/>
    <xf numFmtId="170" fontId="29" fillId="30" borderId="0" applyNumberFormat="0" applyBorder="0" applyAlignment="0" applyProtection="0"/>
    <xf numFmtId="0" fontId="154" fillId="30" borderId="0" applyNumberFormat="0" applyBorder="0" applyAlignment="0" applyProtection="0"/>
    <xf numFmtId="170" fontId="29" fillId="31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0" fontId="154" fillId="30" borderId="0" applyNumberFormat="0" applyBorder="0" applyAlignment="0" applyProtection="0"/>
    <xf numFmtId="194" fontId="29" fillId="0" borderId="15" applyFont="0" applyFill="0" applyBorder="0" applyProtection="0">
      <alignment horizontal="center" vertical="center"/>
    </xf>
    <xf numFmtId="3" fontId="45" fillId="0" borderId="15" applyBorder="0">
      <alignment vertical="center"/>
    </xf>
    <xf numFmtId="165" fontId="32" fillId="0" borderId="0">
      <protection locked="0"/>
    </xf>
    <xf numFmtId="165" fontId="33" fillId="0" borderId="0">
      <protection locked="0"/>
    </xf>
    <xf numFmtId="0" fontId="45" fillId="0" borderId="15" applyBorder="0">
      <alignment horizontal="center" vertical="center" wrapText="1"/>
    </xf>
    <xf numFmtId="170" fontId="106" fillId="0" borderId="15" applyBorder="0">
      <alignment horizontal="center" vertical="center" wrapText="1"/>
    </xf>
    <xf numFmtId="170" fontId="106" fillId="0" borderId="15" applyBorder="0">
      <alignment horizontal="center" vertical="center" wrapText="1"/>
    </xf>
    <xf numFmtId="0" fontId="105" fillId="0" borderId="0"/>
    <xf numFmtId="0" fontId="129" fillId="0" borderId="42" applyNumberFormat="0" applyFill="0" applyAlignment="0" applyProtection="0"/>
    <xf numFmtId="0" fontId="107" fillId="136" borderId="23" applyNumberFormat="0" applyAlignment="0" applyProtection="0"/>
    <xf numFmtId="0" fontId="129" fillId="0" borderId="42" applyNumberFormat="0" applyFill="0" applyAlignment="0" applyProtection="0"/>
    <xf numFmtId="0" fontId="144" fillId="29" borderId="0" applyNumberFormat="0" applyBorder="0" applyAlignment="0" applyProtection="0"/>
    <xf numFmtId="0" fontId="154" fillId="31" borderId="0" applyNumberFormat="0" applyBorder="0" applyAlignment="0" applyProtection="0"/>
    <xf numFmtId="0" fontId="144" fillId="29" borderId="0" applyNumberFormat="0" applyBorder="0" applyAlignment="0" applyProtection="0"/>
    <xf numFmtId="0" fontId="13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10" fillId="130" borderId="23" applyNumberFormat="0" applyAlignment="0" applyProtection="0"/>
    <xf numFmtId="0" fontId="116" fillId="0" borderId="39" applyNumberFormat="0" applyFill="0" applyAlignment="0" applyProtection="0"/>
    <xf numFmtId="0" fontId="110" fillId="130" borderId="23" applyNumberFormat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36" fillId="29" borderId="0" applyNumberFormat="0" applyBorder="0" applyAlignment="0" applyProtection="0"/>
    <xf numFmtId="0" fontId="148" fillId="0" borderId="45" applyNumberFormat="0" applyFill="0" applyAlignment="0" applyProtection="0"/>
    <xf numFmtId="0" fontId="130" fillId="132" borderId="21" applyNumberFormat="0" applyAlignment="0" applyProtection="0"/>
    <xf numFmtId="0" fontId="150" fillId="0" borderId="0" applyNumberFormat="0" applyFill="0" applyBorder="0" applyAlignment="0" applyProtection="0"/>
  </cellStyleXfs>
  <cellXfs count="373">
    <xf numFmtId="0" fontId="0" fillId="0" borderId="0" xfId="0"/>
    <xf numFmtId="0" fontId="17" fillId="0" borderId="11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21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4" fontId="22" fillId="21" borderId="15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15" xfId="0" applyFont="1" applyBorder="1" applyAlignment="1">
      <alignment vertical="center" wrapText="1"/>
    </xf>
    <xf numFmtId="4" fontId="17" fillId="0" borderId="15" xfId="0" applyNumberFormat="1" applyFont="1" applyBorder="1" applyAlignment="1">
      <alignment horizontal="center" vertical="center" wrapText="1"/>
    </xf>
    <xf numFmtId="4" fontId="17" fillId="21" borderId="15" xfId="0" applyNumberFormat="1" applyFont="1" applyFill="1" applyBorder="1" applyAlignment="1">
      <alignment horizontal="center" vertical="center" wrapText="1"/>
    </xf>
    <xf numFmtId="4" fontId="17" fillId="0" borderId="15" xfId="0" applyNumberFormat="1" applyFont="1" applyFill="1" applyBorder="1" applyAlignment="1">
      <alignment horizontal="center" vertical="center" wrapText="1"/>
    </xf>
    <xf numFmtId="0" fontId="155" fillId="0" borderId="48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 wrapText="1"/>
    </xf>
    <xf numFmtId="2" fontId="17" fillId="0" borderId="15" xfId="0" applyNumberFormat="1" applyFont="1" applyBorder="1" applyAlignment="1">
      <alignment horizontal="center" vertical="center" wrapText="1"/>
    </xf>
    <xf numFmtId="4" fontId="17" fillId="137" borderId="15" xfId="0" applyNumberFormat="1" applyFont="1" applyFill="1" applyBorder="1" applyAlignment="1">
      <alignment horizontal="center" vertical="center" wrapText="1"/>
    </xf>
    <xf numFmtId="4" fontId="22" fillId="0" borderId="15" xfId="3938" applyNumberFormat="1" applyFont="1" applyBorder="1" applyAlignment="1">
      <alignment horizontal="center" vertical="center" wrapText="1"/>
    </xf>
    <xf numFmtId="4" fontId="17" fillId="0" borderId="15" xfId="3938" applyNumberFormat="1" applyFont="1" applyBorder="1" applyAlignment="1">
      <alignment horizontal="center" vertical="center" wrapText="1"/>
    </xf>
    <xf numFmtId="0" fontId="157" fillId="0" borderId="12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59" fillId="0" borderId="0" xfId="0" applyFont="1" applyFill="1"/>
    <xf numFmtId="0" fontId="17" fillId="0" borderId="15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4" fontId="0" fillId="0" borderId="0" xfId="0" applyNumberFormat="1"/>
    <xf numFmtId="14" fontId="17" fillId="0" borderId="15" xfId="0" applyNumberFormat="1" applyFont="1" applyBorder="1" applyAlignment="1">
      <alignment vertical="center" wrapText="1"/>
    </xf>
    <xf numFmtId="4" fontId="22" fillId="0" borderId="15" xfId="0" applyNumberFormat="1" applyFont="1" applyFill="1" applyBorder="1" applyAlignment="1">
      <alignment horizontal="center" vertical="center" wrapText="1"/>
    </xf>
    <xf numFmtId="4" fontId="22" fillId="21" borderId="0" xfId="0" applyNumberFormat="1" applyFont="1" applyFill="1" applyBorder="1" applyAlignment="1">
      <alignment horizontal="center" vertical="center" wrapText="1"/>
    </xf>
    <xf numFmtId="4" fontId="24" fillId="21" borderId="0" xfId="0" applyNumberFormat="1" applyFont="1" applyFill="1" applyBorder="1" applyAlignment="1">
      <alignment horizontal="center" vertical="center" wrapText="1"/>
    </xf>
    <xf numFmtId="14" fontId="17" fillId="0" borderId="15" xfId="0" applyNumberFormat="1" applyFont="1" applyBorder="1" applyAlignment="1">
      <alignment horizontal="center" vertical="center" wrapText="1"/>
    </xf>
    <xf numFmtId="0" fontId="17" fillId="138" borderId="15" xfId="0" applyFont="1" applyFill="1" applyBorder="1" applyAlignment="1">
      <alignment horizontal="center" vertical="center" wrapText="1"/>
    </xf>
    <xf numFmtId="0" fontId="17" fillId="138" borderId="15" xfId="0" applyFont="1" applyFill="1" applyBorder="1" applyAlignment="1">
      <alignment vertical="center" wrapText="1"/>
    </xf>
    <xf numFmtId="4" fontId="17" fillId="138" borderId="15" xfId="0" applyNumberFormat="1" applyFont="1" applyFill="1" applyBorder="1" applyAlignment="1">
      <alignment horizontal="center" vertical="center" wrapText="1"/>
    </xf>
    <xf numFmtId="4" fontId="22" fillId="0" borderId="15" xfId="3938" applyNumberFormat="1" applyFont="1" applyFill="1" applyBorder="1" applyAlignment="1">
      <alignment horizontal="center" vertical="center" wrapText="1"/>
    </xf>
    <xf numFmtId="4" fontId="17" fillId="0" borderId="15" xfId="3938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vertical="center" wrapText="1"/>
    </xf>
    <xf numFmtId="4" fontId="17" fillId="138" borderId="15" xfId="3938" applyNumberFormat="1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95" fontId="17" fillId="0" borderId="15" xfId="3938" applyNumberFormat="1" applyFont="1" applyFill="1" applyBorder="1" applyAlignment="1">
      <alignment horizontal="center" vertical="center" wrapText="1"/>
    </xf>
    <xf numFmtId="3" fontId="17" fillId="0" borderId="15" xfId="3938" applyNumberFormat="1" applyFont="1" applyBorder="1" applyAlignment="1">
      <alignment horizontal="center" vertical="center" wrapText="1"/>
    </xf>
    <xf numFmtId="0" fontId="17" fillId="0" borderId="15" xfId="0" applyFont="1" applyFill="1" applyBorder="1" applyAlignment="1">
      <alignment vertical="center" wrapText="1"/>
    </xf>
    <xf numFmtId="3" fontId="17" fillId="0" borderId="15" xfId="0" applyNumberFormat="1" applyFont="1" applyBorder="1" applyAlignment="1">
      <alignment horizontal="center" vertical="center" wrapText="1"/>
    </xf>
    <xf numFmtId="3" fontId="17" fillId="0" borderId="15" xfId="3938" applyNumberFormat="1" applyFont="1" applyFill="1" applyBorder="1" applyAlignment="1">
      <alignment horizontal="center" vertical="center" wrapText="1"/>
    </xf>
    <xf numFmtId="0" fontId="0" fillId="0" borderId="15" xfId="0" applyBorder="1"/>
    <xf numFmtId="4" fontId="0" fillId="0" borderId="15" xfId="0" applyNumberFormat="1" applyBorder="1"/>
    <xf numFmtId="0" fontId="17" fillId="21" borderId="11" xfId="0" applyFont="1" applyFill="1" applyBorder="1" applyAlignment="1">
      <alignment horizontal="center" vertical="center" wrapText="1"/>
    </xf>
    <xf numFmtId="4" fontId="22" fillId="21" borderId="11" xfId="0" applyNumberFormat="1" applyFont="1" applyFill="1" applyBorder="1" applyAlignment="1">
      <alignment horizontal="center" vertical="center" wrapText="1"/>
    </xf>
    <xf numFmtId="4" fontId="17" fillId="21" borderId="11" xfId="0" applyNumberFormat="1" applyFont="1" applyFill="1" applyBorder="1" applyAlignment="1">
      <alignment horizontal="center" vertical="center" wrapText="1"/>
    </xf>
    <xf numFmtId="4" fontId="24" fillId="21" borderId="11" xfId="0" applyNumberFormat="1" applyFont="1" applyFill="1" applyBorder="1" applyAlignment="1">
      <alignment horizontal="center" vertical="center" wrapText="1"/>
    </xf>
    <xf numFmtId="0" fontId="16" fillId="0" borderId="15" xfId="0" applyFont="1" applyBorder="1"/>
    <xf numFmtId="0" fontId="17" fillId="0" borderId="15" xfId="0" applyFont="1" applyBorder="1" applyAlignment="1">
      <alignment horizontal="center" vertical="center" wrapText="1"/>
    </xf>
    <xf numFmtId="1" fontId="17" fillId="0" borderId="15" xfId="3938" applyNumberFormat="1" applyFont="1" applyBorder="1" applyAlignment="1">
      <alignment horizontal="center" vertical="center" wrapText="1"/>
    </xf>
    <xf numFmtId="0" fontId="22" fillId="0" borderId="15" xfId="0" applyFont="1" applyFill="1" applyBorder="1" applyAlignment="1">
      <alignment vertical="center" wrapText="1"/>
    </xf>
    <xf numFmtId="0" fontId="0" fillId="0" borderId="15" xfId="0" applyFont="1" applyBorder="1"/>
    <xf numFmtId="0" fontId="0" fillId="0" borderId="0" xfId="0" applyFont="1"/>
    <xf numFmtId="0" fontId="0" fillId="0" borderId="10" xfId="0" applyBorder="1"/>
    <xf numFmtId="0" fontId="0" fillId="0" borderId="0" xfId="0" applyBorder="1"/>
    <xf numFmtId="4" fontId="17" fillId="0" borderId="0" xfId="3938" applyNumberFormat="1" applyFont="1" applyBorder="1" applyAlignment="1">
      <alignment horizontal="center" vertical="center" wrapText="1"/>
    </xf>
    <xf numFmtId="4" fontId="0" fillId="0" borderId="0" xfId="0" applyNumberFormat="1" applyBorder="1"/>
    <xf numFmtId="1" fontId="17" fillId="0" borderId="15" xfId="3938" applyNumberFormat="1" applyFont="1" applyFill="1" applyBorder="1" applyAlignment="1">
      <alignment horizontal="center" vertical="center" wrapText="1"/>
    </xf>
    <xf numFmtId="1" fontId="17" fillId="0" borderId="15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129" fillId="0" borderId="0" xfId="0" applyFont="1"/>
    <xf numFmtId="0" fontId="129" fillId="0" borderId="0" xfId="0" applyFont="1" applyAlignment="1">
      <alignment horizontal="center"/>
    </xf>
    <xf numFmtId="0" fontId="0" fillId="137" borderId="0" xfId="0" applyFill="1"/>
    <xf numFmtId="0" fontId="25" fillId="0" borderId="0" xfId="0" applyNumberFormat="1" applyFont="1" applyAlignment="1">
      <alignment vertical="top" wrapText="1"/>
    </xf>
    <xf numFmtId="0" fontId="51" fillId="143" borderId="54" xfId="0" applyNumberFormat="1" applyFont="1" applyFill="1" applyBorder="1" applyAlignment="1">
      <alignment horizontal="right" vertical="top" wrapText="1"/>
    </xf>
    <xf numFmtId="4" fontId="51" fillId="143" borderId="54" xfId="0" applyNumberFormat="1" applyFont="1" applyFill="1" applyBorder="1" applyAlignment="1">
      <alignment horizontal="right" vertical="top" wrapText="1"/>
    </xf>
    <xf numFmtId="0" fontId="51" fillId="143" borderId="55" xfId="0" applyNumberFormat="1" applyFont="1" applyFill="1" applyBorder="1" applyAlignment="1">
      <alignment horizontal="right" vertical="top" wrapText="1"/>
    </xf>
    <xf numFmtId="0" fontId="51" fillId="143" borderId="56" xfId="0" applyNumberFormat="1" applyFont="1" applyFill="1" applyBorder="1" applyAlignment="1">
      <alignment horizontal="right" vertical="top" wrapText="1"/>
    </xf>
    <xf numFmtId="0" fontId="164" fillId="0" borderId="54" xfId="0" applyNumberFormat="1" applyFont="1" applyBorder="1" applyAlignment="1">
      <alignment horizontal="right" vertical="top" wrapText="1"/>
    </xf>
    <xf numFmtId="4" fontId="164" fillId="0" borderId="54" xfId="0" applyNumberFormat="1" applyFont="1" applyBorder="1" applyAlignment="1">
      <alignment horizontal="right" vertical="top" wrapText="1"/>
    </xf>
    <xf numFmtId="0" fontId="164" fillId="0" borderId="55" xfId="0" applyNumberFormat="1" applyFont="1" applyBorder="1" applyAlignment="1">
      <alignment horizontal="right" vertical="top" wrapText="1"/>
    </xf>
    <xf numFmtId="0" fontId="164" fillId="0" borderId="56" xfId="0" applyNumberFormat="1" applyFont="1" applyBorder="1" applyAlignment="1">
      <alignment horizontal="right" vertical="top" wrapText="1"/>
    </xf>
    <xf numFmtId="2" fontId="164" fillId="0" borderId="54" xfId="0" applyNumberFormat="1" applyFont="1" applyBorder="1" applyAlignment="1">
      <alignment horizontal="right" vertical="top" wrapText="1"/>
    </xf>
    <xf numFmtId="4" fontId="0" fillId="139" borderId="0" xfId="0" applyNumberFormat="1" applyFill="1"/>
    <xf numFmtId="4" fontId="165" fillId="0" borderId="54" xfId="0" applyNumberFormat="1" applyFont="1" applyBorder="1" applyAlignment="1">
      <alignment horizontal="right" vertical="top" wrapText="1"/>
    </xf>
    <xf numFmtId="0" fontId="166" fillId="142" borderId="49" xfId="0" applyNumberFormat="1" applyFont="1" applyFill="1" applyBorder="1" applyAlignment="1">
      <alignment horizontal="right" vertical="top" wrapText="1"/>
    </xf>
    <xf numFmtId="4" fontId="166" fillId="142" borderId="49" xfId="0" applyNumberFormat="1" applyFont="1" applyFill="1" applyBorder="1" applyAlignment="1">
      <alignment horizontal="right" vertical="top" wrapText="1"/>
    </xf>
    <xf numFmtId="0" fontId="166" fillId="142" borderId="57" xfId="0" applyNumberFormat="1" applyFont="1" applyFill="1" applyBorder="1" applyAlignment="1">
      <alignment horizontal="right" vertical="top" wrapText="1"/>
    </xf>
    <xf numFmtId="0" fontId="166" fillId="142" borderId="58" xfId="0" applyNumberFormat="1" applyFont="1" applyFill="1" applyBorder="1" applyAlignment="1">
      <alignment horizontal="right" vertical="top" wrapText="1"/>
    </xf>
    <xf numFmtId="4" fontId="0" fillId="0" borderId="15" xfId="0" applyNumberFormat="1" applyBorder="1"/>
    <xf numFmtId="196" fontId="0" fillId="0" borderId="0" xfId="0" applyNumberFormat="1" applyBorder="1"/>
    <xf numFmtId="0" fontId="0" fillId="0" borderId="0" xfId="0" applyBorder="1"/>
    <xf numFmtId="2" fontId="0" fillId="137" borderId="15" xfId="0" applyNumberFormat="1" applyFill="1" applyBorder="1"/>
    <xf numFmtId="4" fontId="0" fillId="137" borderId="15" xfId="0" applyNumberFormat="1" applyFill="1" applyBorder="1"/>
    <xf numFmtId="0" fontId="0" fillId="137" borderId="15" xfId="0" applyFill="1" applyBorder="1"/>
    <xf numFmtId="196" fontId="0" fillId="137" borderId="15" xfId="0" applyNumberFormat="1" applyFill="1" applyBorder="1"/>
    <xf numFmtId="2" fontId="0" fillId="0" borderId="0" xfId="0" applyNumberFormat="1" applyBorder="1"/>
    <xf numFmtId="4" fontId="0" fillId="0" borderId="0" xfId="0" applyNumberFormat="1" applyBorder="1"/>
    <xf numFmtId="0" fontId="0" fillId="137" borderId="15" xfId="0" applyFill="1" applyBorder="1" applyAlignment="1">
      <alignment wrapText="1"/>
    </xf>
    <xf numFmtId="0" fontId="0" fillId="137" borderId="14" xfId="0" applyFill="1" applyBorder="1" applyAlignment="1">
      <alignment wrapText="1"/>
    </xf>
    <xf numFmtId="0" fontId="0" fillId="137" borderId="15" xfId="0" applyFill="1" applyBorder="1" applyAlignment="1"/>
    <xf numFmtId="0" fontId="36" fillId="137" borderId="15" xfId="0" applyFont="1" applyFill="1" applyBorder="1" applyAlignment="1"/>
    <xf numFmtId="4" fontId="36" fillId="137" borderId="15" xfId="0" applyNumberFormat="1" applyFont="1" applyFill="1" applyBorder="1"/>
    <xf numFmtId="196" fontId="36" fillId="137" borderId="15" xfId="0" applyNumberFormat="1" applyFont="1" applyFill="1" applyBorder="1"/>
    <xf numFmtId="0" fontId="36" fillId="137" borderId="15" xfId="0" applyFont="1" applyFill="1" applyBorder="1"/>
    <xf numFmtId="197" fontId="0" fillId="137" borderId="15" xfId="0" applyNumberFormat="1" applyFill="1" applyBorder="1"/>
    <xf numFmtId="0" fontId="0" fillId="139" borderId="15" xfId="0" applyFill="1" applyBorder="1"/>
    <xf numFmtId="197" fontId="0" fillId="139" borderId="15" xfId="0" applyNumberFormat="1" applyFill="1" applyBorder="1"/>
    <xf numFmtId="0" fontId="0" fillId="139" borderId="15" xfId="0" applyFill="1" applyBorder="1" applyAlignment="1">
      <alignment wrapText="1"/>
    </xf>
    <xf numFmtId="4" fontId="0" fillId="139" borderId="15" xfId="0" applyNumberFormat="1" applyFill="1" applyBorder="1"/>
    <xf numFmtId="196" fontId="0" fillId="139" borderId="15" xfId="0" applyNumberFormat="1" applyFill="1" applyBorder="1"/>
    <xf numFmtId="0" fontId="0" fillId="141" borderId="15" xfId="0" applyFill="1" applyBorder="1"/>
    <xf numFmtId="197" fontId="0" fillId="141" borderId="15" xfId="0" applyNumberFormat="1" applyFill="1" applyBorder="1"/>
    <xf numFmtId="4" fontId="0" fillId="141" borderId="15" xfId="0" applyNumberFormat="1" applyFill="1" applyBorder="1"/>
    <xf numFmtId="196" fontId="0" fillId="141" borderId="15" xfId="0" applyNumberFormat="1" applyFill="1" applyBorder="1"/>
    <xf numFmtId="196" fontId="0" fillId="139" borderId="15" xfId="0" applyNumberFormat="1" applyFill="1" applyBorder="1" applyAlignment="1">
      <alignment horizontal="right" wrapText="1"/>
    </xf>
    <xf numFmtId="0" fontId="0" fillId="139" borderId="15" xfId="0" applyFill="1" applyBorder="1" applyAlignment="1"/>
    <xf numFmtId="2" fontId="0" fillId="139" borderId="15" xfId="0" applyNumberFormat="1" applyFill="1" applyBorder="1"/>
    <xf numFmtId="0" fontId="0" fillId="141" borderId="15" xfId="0" applyFill="1" applyBorder="1" applyAlignment="1"/>
    <xf numFmtId="2" fontId="0" fillId="141" borderId="15" xfId="0" applyNumberFormat="1" applyFill="1" applyBorder="1"/>
    <xf numFmtId="0" fontId="0" fillId="0" borderId="0" xfId="0"/>
    <xf numFmtId="0" fontId="0" fillId="0" borderId="15" xfId="0" applyBorder="1"/>
    <xf numFmtId="2" fontId="0" fillId="0" borderId="0" xfId="0" applyNumberFormat="1"/>
    <xf numFmtId="196" fontId="0" fillId="0" borderId="0" xfId="0" applyNumberFormat="1"/>
    <xf numFmtId="4" fontId="0" fillId="0" borderId="15" xfId="0" applyNumberFormat="1" applyBorder="1"/>
    <xf numFmtId="0" fontId="0" fillId="0" borderId="15" xfId="0" applyFill="1" applyBorder="1"/>
    <xf numFmtId="4" fontId="0" fillId="137" borderId="15" xfId="0" applyNumberFormat="1" applyFill="1" applyBorder="1"/>
    <xf numFmtId="0" fontId="0" fillId="137" borderId="15" xfId="0" applyFill="1" applyBorder="1"/>
    <xf numFmtId="196" fontId="0" fillId="137" borderId="15" xfId="0" applyNumberFormat="1" applyFill="1" applyBorder="1"/>
    <xf numFmtId="0" fontId="0" fillId="137" borderId="15" xfId="0" applyFill="1" applyBorder="1" applyAlignment="1">
      <alignment wrapText="1"/>
    </xf>
    <xf numFmtId="0" fontId="0" fillId="137" borderId="0" xfId="0" applyFill="1"/>
    <xf numFmtId="0" fontId="0" fillId="0" borderId="15" xfId="0" applyFill="1" applyBorder="1" applyAlignment="1">
      <alignment wrapText="1"/>
    </xf>
    <xf numFmtId="197" fontId="0" fillId="137" borderId="15" xfId="0" applyNumberFormat="1" applyFill="1" applyBorder="1"/>
    <xf numFmtId="4" fontId="0" fillId="0" borderId="0" xfId="0" applyNumberFormat="1"/>
    <xf numFmtId="0" fontId="36" fillId="0" borderId="15" xfId="0" applyFont="1" applyFill="1" applyBorder="1" applyAlignment="1">
      <alignment horizontal="left"/>
    </xf>
    <xf numFmtId="0" fontId="17" fillId="0" borderId="15" xfId="0" applyFont="1" applyBorder="1" applyAlignment="1">
      <alignment horizontal="center" vertical="center" wrapText="1"/>
    </xf>
    <xf numFmtId="196" fontId="0" fillId="0" borderId="15" xfId="0" applyNumberFormat="1" applyFill="1" applyBorder="1"/>
    <xf numFmtId="14" fontId="0" fillId="0" borderId="0" xfId="0" applyNumberFormat="1"/>
    <xf numFmtId="4" fontId="16" fillId="0" borderId="0" xfId="0" applyNumberFormat="1" applyFont="1"/>
    <xf numFmtId="2" fontId="17" fillId="0" borderId="15" xfId="0" applyNumberFormat="1" applyFont="1" applyFill="1" applyBorder="1" applyAlignment="1">
      <alignment horizontal="center" vertical="center" wrapText="1"/>
    </xf>
    <xf numFmtId="4" fontId="0" fillId="0" borderId="0" xfId="0" applyNumberFormat="1" applyFill="1"/>
    <xf numFmtId="0" fontId="0" fillId="0" borderId="0" xfId="0" applyFill="1"/>
    <xf numFmtId="2" fontId="0" fillId="0" borderId="15" xfId="0" applyNumberFormat="1" applyFill="1" applyBorder="1"/>
    <xf numFmtId="196" fontId="0" fillId="0" borderId="15" xfId="0" applyNumberFormat="1" applyFill="1" applyBorder="1" applyAlignment="1">
      <alignment horizontal="right" wrapText="1"/>
    </xf>
    <xf numFmtId="2" fontId="0" fillId="0" borderId="15" xfId="0" applyNumberFormat="1" applyFill="1" applyBorder="1" applyAlignment="1">
      <alignment wrapText="1"/>
    </xf>
    <xf numFmtId="196" fontId="36" fillId="0" borderId="15" xfId="0" applyNumberFormat="1" applyFont="1" applyFill="1" applyBorder="1" applyAlignment="1">
      <alignment horizontal="right" wrapText="1"/>
    </xf>
    <xf numFmtId="0" fontId="36" fillId="0" borderId="15" xfId="0" applyFont="1" applyFill="1" applyBorder="1" applyAlignment="1">
      <alignment horizontal="left" wrapText="1"/>
    </xf>
    <xf numFmtId="196" fontId="36" fillId="0" borderId="15" xfId="0" applyNumberFormat="1" applyFont="1" applyFill="1" applyBorder="1" applyAlignment="1">
      <alignment horizontal="right"/>
    </xf>
    <xf numFmtId="3" fontId="0" fillId="0" borderId="0" xfId="0" applyNumberFormat="1"/>
    <xf numFmtId="0" fontId="0" fillId="0" borderId="0" xfId="0" applyBorder="1" applyAlignment="1">
      <alignment horizontal="center" vertical="center" wrapText="1"/>
    </xf>
    <xf numFmtId="0" fontId="0" fillId="137" borderId="15" xfId="0" applyFill="1" applyBorder="1"/>
    <xf numFmtId="0" fontId="0" fillId="137" borderId="15" xfId="0" applyFill="1" applyBorder="1" applyAlignment="1">
      <alignment wrapText="1"/>
    </xf>
    <xf numFmtId="0" fontId="0" fillId="137" borderId="15" xfId="0" applyFill="1" applyBorder="1" applyAlignment="1"/>
    <xf numFmtId="0" fontId="36" fillId="137" borderId="15" xfId="0" applyFont="1" applyFill="1" applyBorder="1" applyAlignment="1"/>
    <xf numFmtId="0" fontId="0" fillId="139" borderId="15" xfId="0" applyFill="1" applyBorder="1"/>
    <xf numFmtId="0" fontId="0" fillId="139" borderId="15" xfId="0" applyFill="1" applyBorder="1" applyAlignment="1">
      <alignment wrapText="1"/>
    </xf>
    <xf numFmtId="0" fontId="0" fillId="137" borderId="10" xfId="0" applyFill="1" applyBorder="1" applyAlignment="1">
      <alignment wrapText="1"/>
    </xf>
    <xf numFmtId="0" fontId="0" fillId="137" borderId="16" xfId="0" applyFill="1" applyBorder="1" applyAlignment="1">
      <alignment wrapText="1"/>
    </xf>
    <xf numFmtId="0" fontId="0" fillId="0" borderId="15" xfId="0" applyBorder="1"/>
    <xf numFmtId="0" fontId="0" fillId="0" borderId="15" xfId="0" applyFill="1" applyBorder="1"/>
    <xf numFmtId="0" fontId="0" fillId="0" borderId="15" xfId="0" applyFill="1" applyBorder="1" applyAlignment="1"/>
    <xf numFmtId="0" fontId="36" fillId="0" borderId="16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horizontal="left" wrapText="1"/>
    </xf>
    <xf numFmtId="0" fontId="0" fillId="0" borderId="0" xfId="0"/>
    <xf numFmtId="0" fontId="0" fillId="0" borderId="15" xfId="0" applyFill="1" applyBorder="1"/>
    <xf numFmtId="4" fontId="0" fillId="0" borderId="15" xfId="0" applyNumberFormat="1" applyFill="1" applyBorder="1"/>
    <xf numFmtId="0" fontId="0" fillId="0" borderId="15" xfId="0" applyFill="1" applyBorder="1" applyAlignment="1"/>
    <xf numFmtId="4" fontId="0" fillId="0" borderId="15" xfId="0" applyNumberFormat="1" applyFill="1" applyBorder="1" applyAlignment="1"/>
    <xf numFmtId="4" fontId="0" fillId="137" borderId="15" xfId="0" applyNumberFormat="1" applyFill="1" applyBorder="1"/>
    <xf numFmtId="0" fontId="0" fillId="137" borderId="15" xfId="0" applyFill="1" applyBorder="1"/>
    <xf numFmtId="196" fontId="0" fillId="137" borderId="15" xfId="0" applyNumberFormat="1" applyFill="1" applyBorder="1"/>
    <xf numFmtId="0" fontId="0" fillId="137" borderId="15" xfId="0" applyFill="1" applyBorder="1" applyAlignment="1">
      <alignment wrapText="1"/>
    </xf>
    <xf numFmtId="0" fontId="0" fillId="137" borderId="0" xfId="0" applyFill="1"/>
    <xf numFmtId="0" fontId="0" fillId="0" borderId="15" xfId="0" applyFill="1" applyBorder="1" applyAlignment="1">
      <alignment wrapText="1"/>
    </xf>
    <xf numFmtId="0" fontId="0" fillId="0" borderId="15" xfId="0" applyFill="1" applyBorder="1" applyAlignment="1">
      <alignment horizontal="left" wrapText="1"/>
    </xf>
    <xf numFmtId="4" fontId="0" fillId="0" borderId="15" xfId="0" applyNumberFormat="1" applyFill="1" applyBorder="1" applyAlignment="1">
      <alignment horizontal="right"/>
    </xf>
    <xf numFmtId="197" fontId="0" fillId="137" borderId="15" xfId="0" applyNumberFormat="1" applyFill="1" applyBorder="1"/>
    <xf numFmtId="0" fontId="129" fillId="137" borderId="13" xfId="0" applyFont="1" applyFill="1" applyBorder="1" applyAlignment="1">
      <alignment horizontal="center" vertical="center"/>
    </xf>
    <xf numFmtId="0" fontId="129" fillId="137" borderId="15" xfId="0" applyFont="1" applyFill="1" applyBorder="1" applyAlignment="1">
      <alignment horizontal="center" vertical="center"/>
    </xf>
    <xf numFmtId="0" fontId="129" fillId="137" borderId="15" xfId="0" applyNumberFormat="1" applyFont="1" applyFill="1" applyBorder="1" applyAlignment="1">
      <alignment horizontal="center" vertical="center" wrapText="1"/>
    </xf>
    <xf numFmtId="0" fontId="129" fillId="137" borderId="15" xfId="0" applyFont="1" applyFill="1" applyBorder="1" applyAlignment="1">
      <alignment horizontal="center" vertical="center" wrapText="1"/>
    </xf>
    <xf numFmtId="196" fontId="129" fillId="137" borderId="15" xfId="0" applyNumberFormat="1" applyFont="1" applyFill="1" applyBorder="1" applyAlignment="1">
      <alignment horizontal="center"/>
    </xf>
    <xf numFmtId="0" fontId="129" fillId="137" borderId="15" xfId="0" applyFont="1" applyFill="1" applyBorder="1" applyAlignment="1">
      <alignment horizontal="center"/>
    </xf>
    <xf numFmtId="0" fontId="0" fillId="137" borderId="0" xfId="0" applyFill="1" applyBorder="1"/>
    <xf numFmtId="0" fontId="0" fillId="137" borderId="0" xfId="0" applyFill="1" applyBorder="1" applyAlignment="1">
      <alignment wrapText="1"/>
    </xf>
    <xf numFmtId="2" fontId="0" fillId="137" borderId="0" xfId="0" applyNumberFormat="1" applyFill="1" applyBorder="1"/>
    <xf numFmtId="4" fontId="0" fillId="137" borderId="0" xfId="0" applyNumberFormat="1" applyFill="1" applyBorder="1"/>
    <xf numFmtId="196" fontId="0" fillId="137" borderId="0" xfId="0" applyNumberFormat="1" applyFill="1" applyBorder="1"/>
    <xf numFmtId="0" fontId="0" fillId="139" borderId="15" xfId="0" applyFill="1" applyBorder="1"/>
    <xf numFmtId="197" fontId="0" fillId="139" borderId="15" xfId="0" applyNumberFormat="1" applyFill="1" applyBorder="1"/>
    <xf numFmtId="0" fontId="0" fillId="139" borderId="15" xfId="0" applyFill="1" applyBorder="1" applyAlignment="1">
      <alignment wrapText="1"/>
    </xf>
    <xf numFmtId="4" fontId="0" fillId="139" borderId="15" xfId="0" applyNumberFormat="1" applyFill="1" applyBorder="1"/>
    <xf numFmtId="196" fontId="0" fillId="139" borderId="15" xfId="0" applyNumberFormat="1" applyFill="1" applyBorder="1"/>
    <xf numFmtId="196" fontId="0" fillId="139" borderId="15" xfId="0" applyNumberFormat="1" applyFill="1" applyBorder="1" applyAlignment="1">
      <alignment horizontal="right" wrapText="1"/>
    </xf>
    <xf numFmtId="0" fontId="0" fillId="144" borderId="15" xfId="0" applyFill="1" applyBorder="1"/>
    <xf numFmtId="197" fontId="0" fillId="144" borderId="15" xfId="0" applyNumberFormat="1" applyFill="1" applyBorder="1"/>
    <xf numFmtId="0" fontId="0" fillId="144" borderId="15" xfId="0" applyFill="1" applyBorder="1" applyAlignment="1">
      <alignment wrapText="1"/>
    </xf>
    <xf numFmtId="4" fontId="0" fillId="144" borderId="15" xfId="0" applyNumberFormat="1" applyFill="1" applyBorder="1"/>
    <xf numFmtId="196" fontId="0" fillId="144" borderId="15" xfId="0" applyNumberFormat="1" applyFill="1" applyBorder="1"/>
    <xf numFmtId="0" fontId="0" fillId="139" borderId="15" xfId="0" applyFill="1" applyBorder="1" applyAlignment="1">
      <alignment horizontal="left" wrapText="1"/>
    </xf>
    <xf numFmtId="0" fontId="0" fillId="140" borderId="15" xfId="0" applyFill="1" applyBorder="1"/>
    <xf numFmtId="196" fontId="0" fillId="140" borderId="15" xfId="0" applyNumberFormat="1" applyFill="1" applyBorder="1"/>
    <xf numFmtId="0" fontId="0" fillId="0" borderId="15" xfId="0" applyFill="1" applyBorder="1" applyAlignment="1">
      <alignment horizontal="left"/>
    </xf>
    <xf numFmtId="4" fontId="0" fillId="137" borderId="0" xfId="0" applyNumberForma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left"/>
    </xf>
    <xf numFmtId="2" fontId="0" fillId="0" borderId="0" xfId="0" applyNumberFormat="1" applyFill="1"/>
    <xf numFmtId="196" fontId="0" fillId="0" borderId="0" xfId="0" applyNumberFormat="1" applyFill="1"/>
    <xf numFmtId="0" fontId="129" fillId="0" borderId="15" xfId="0" applyFont="1" applyFill="1" applyBorder="1" applyAlignment="1">
      <alignment horizontal="center" vertical="center"/>
    </xf>
    <xf numFmtId="2" fontId="129" fillId="0" borderId="15" xfId="0" applyNumberFormat="1" applyFont="1" applyFill="1" applyBorder="1" applyAlignment="1">
      <alignment horizontal="center" vertical="center"/>
    </xf>
    <xf numFmtId="196" fontId="129" fillId="0" borderId="15" xfId="0" applyNumberFormat="1" applyFont="1" applyFill="1" applyBorder="1" applyAlignment="1">
      <alignment horizontal="center"/>
    </xf>
    <xf numFmtId="0" fontId="129" fillId="0" borderId="15" xfId="0" applyFont="1" applyFill="1" applyBorder="1" applyAlignment="1">
      <alignment horizontal="center"/>
    </xf>
    <xf numFmtId="4" fontId="36" fillId="0" borderId="16" xfId="0" applyNumberFormat="1" applyFont="1" applyFill="1" applyBorder="1" applyAlignment="1">
      <alignment horizontal="right" vertical="center" wrapText="1"/>
    </xf>
    <xf numFmtId="4" fontId="0" fillId="0" borderId="15" xfId="0" applyNumberFormat="1" applyFont="1" applyFill="1" applyBorder="1" applyAlignment="1">
      <alignment horizontal="right" vertical="center"/>
    </xf>
    <xf numFmtId="4" fontId="36" fillId="0" borderId="15" xfId="0" applyNumberFormat="1" applyFont="1" applyFill="1" applyBorder="1" applyAlignment="1">
      <alignment horizontal="right" vertical="center"/>
    </xf>
    <xf numFmtId="4" fontId="36" fillId="0" borderId="16" xfId="0" applyNumberFormat="1" applyFont="1" applyFill="1" applyBorder="1" applyAlignment="1">
      <alignment horizontal="right" wrapText="1"/>
    </xf>
    <xf numFmtId="4" fontId="0" fillId="0" borderId="15" xfId="0" applyNumberFormat="1" applyFont="1" applyFill="1" applyBorder="1" applyAlignment="1"/>
    <xf numFmtId="4" fontId="36" fillId="0" borderId="15" xfId="0" applyNumberFormat="1" applyFont="1" applyFill="1" applyBorder="1" applyAlignment="1">
      <alignment horizontal="right"/>
    </xf>
    <xf numFmtId="0" fontId="0" fillId="0" borderId="15" xfId="0" applyFill="1" applyBorder="1" applyAlignment="1">
      <alignment horizontal="left" vertical="center"/>
    </xf>
    <xf numFmtId="196" fontId="0" fillId="0" borderId="0" xfId="0" applyNumberFormat="1" applyFill="1" applyAlignment="1">
      <alignment horizontal="right" wrapText="1"/>
    </xf>
    <xf numFmtId="196" fontId="0" fillId="0" borderId="15" xfId="0" applyNumberFormat="1" applyFill="1" applyBorder="1" applyAlignment="1">
      <alignment horizontal="left" wrapText="1"/>
    </xf>
    <xf numFmtId="0" fontId="36" fillId="0" borderId="16" xfId="0" applyFont="1" applyFill="1" applyBorder="1" applyAlignment="1">
      <alignment horizontal="right" wrapText="1"/>
    </xf>
    <xf numFmtId="0" fontId="0" fillId="140" borderId="15" xfId="0" applyFill="1" applyBorder="1" applyAlignment="1">
      <alignment horizontal="left"/>
    </xf>
    <xf numFmtId="4" fontId="0" fillId="139" borderId="15" xfId="0" applyNumberFormat="1" applyFont="1" applyFill="1" applyBorder="1"/>
    <xf numFmtId="4" fontId="0" fillId="139" borderId="15" xfId="0" applyNumberFormat="1" applyFont="1" applyFill="1" applyBorder="1" applyAlignment="1"/>
    <xf numFmtId="0" fontId="17" fillId="0" borderId="1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0" fillId="139" borderId="15" xfId="0" applyFill="1" applyBorder="1" applyAlignment="1">
      <alignment horizontal="left" vertical="center"/>
    </xf>
    <xf numFmtId="14" fontId="0" fillId="139" borderId="0" xfId="0" applyNumberFormat="1" applyFill="1"/>
    <xf numFmtId="0" fontId="29" fillId="0" borderId="0" xfId="3861"/>
    <xf numFmtId="0" fontId="139" fillId="0" borderId="15" xfId="3861" applyFont="1" applyBorder="1" applyAlignment="1">
      <alignment vertical="distributed"/>
    </xf>
    <xf numFmtId="3" fontId="29" fillId="0" borderId="15" xfId="3861" applyNumberFormat="1" applyBorder="1" applyAlignment="1">
      <alignment vertical="center"/>
    </xf>
    <xf numFmtId="0" fontId="0" fillId="0" borderId="0" xfId="3861" applyFont="1"/>
    <xf numFmtId="3" fontId="29" fillId="0" borderId="15" xfId="3861" applyNumberFormat="1" applyFill="1" applyBorder="1" applyAlignment="1">
      <alignment vertical="center"/>
    </xf>
    <xf numFmtId="0" fontId="167" fillId="0" borderId="0" xfId="3861" applyFont="1" applyAlignment="1">
      <alignment horizontal="center"/>
    </xf>
    <xf numFmtId="0" fontId="167" fillId="0" borderId="15" xfId="3861" applyFont="1" applyBorder="1" applyAlignment="1">
      <alignment horizontal="center"/>
    </xf>
    <xf numFmtId="3" fontId="167" fillId="0" borderId="15" xfId="3861" applyNumberFormat="1" applyFont="1" applyBorder="1" applyAlignment="1">
      <alignment horizontal="center"/>
    </xf>
    <xf numFmtId="4" fontId="29" fillId="0" borderId="15" xfId="3861" applyNumberFormat="1" applyBorder="1"/>
    <xf numFmtId="2" fontId="29" fillId="0" borderId="15" xfId="3861" applyNumberFormat="1" applyBorder="1"/>
    <xf numFmtId="0" fontId="167" fillId="0" borderId="15" xfId="3861" applyFont="1" applyBorder="1" applyAlignment="1">
      <alignment horizontal="right"/>
    </xf>
    <xf numFmtId="4" fontId="167" fillId="0" borderId="15" xfId="3861" applyNumberFormat="1" applyFont="1" applyBorder="1"/>
    <xf numFmtId="0" fontId="0" fillId="137" borderId="0" xfId="0" applyFill="1" applyAlignment="1">
      <alignment wrapText="1"/>
    </xf>
    <xf numFmtId="0" fontId="17" fillId="0" borderId="15" xfId="0" applyFont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right" wrapText="1"/>
    </xf>
    <xf numFmtId="4" fontId="36" fillId="0" borderId="15" xfId="0" applyNumberFormat="1" applyFont="1" applyFill="1" applyBorder="1" applyAlignment="1">
      <alignment horizontal="right" vertical="center" wrapText="1"/>
    </xf>
    <xf numFmtId="4" fontId="0" fillId="145" borderId="15" xfId="0" applyNumberFormat="1" applyFont="1" applyFill="1" applyBorder="1" applyAlignment="1"/>
    <xf numFmtId="4" fontId="36" fillId="146" borderId="15" xfId="0" applyNumberFormat="1" applyFont="1" applyFill="1" applyBorder="1" applyAlignment="1">
      <alignment horizontal="right"/>
    </xf>
    <xf numFmtId="0" fontId="36" fillId="145" borderId="15" xfId="0" applyFont="1" applyFill="1" applyBorder="1" applyAlignment="1">
      <alignment horizontal="right"/>
    </xf>
    <xf numFmtId="0" fontId="17" fillId="0" borderId="15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6" fillId="0" borderId="15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0" fillId="0" borderId="10" xfId="0" applyBorder="1" applyAlignment="1"/>
    <xf numFmtId="0" fontId="36" fillId="0" borderId="16" xfId="0" applyFont="1" applyBorder="1" applyAlignment="1">
      <alignment horizontal="left" vertical="center" wrapText="1"/>
    </xf>
    <xf numFmtId="4" fontId="36" fillId="0" borderId="16" xfId="0" applyNumberFormat="1" applyFont="1" applyBorder="1" applyAlignment="1">
      <alignment horizontal="right" vertical="center" wrapText="1"/>
    </xf>
    <xf numFmtId="4" fontId="0" fillId="0" borderId="10" xfId="0" applyNumberFormat="1" applyBorder="1" applyAlignment="1"/>
    <xf numFmtId="196" fontId="0" fillId="0" borderId="10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36" fillId="0" borderId="16" xfId="0" applyFont="1" applyBorder="1" applyAlignment="1">
      <alignment horizontal="left" wrapText="1"/>
    </xf>
    <xf numFmtId="4" fontId="36" fillId="0" borderId="16" xfId="0" applyNumberFormat="1" applyFont="1" applyBorder="1" applyAlignment="1">
      <alignment horizontal="right" wrapText="1"/>
    </xf>
    <xf numFmtId="4" fontId="0" fillId="0" borderId="15" xfId="0" applyNumberFormat="1" applyBorder="1" applyAlignment="1"/>
    <xf numFmtId="0" fontId="0" fillId="0" borderId="0" xfId="0" applyAlignment="1"/>
    <xf numFmtId="0" fontId="0" fillId="0" borderId="15" xfId="0" applyBorder="1" applyAlignment="1"/>
    <xf numFmtId="196" fontId="0" fillId="0" borderId="15" xfId="0" applyNumberFormat="1" applyBorder="1" applyAlignment="1">
      <alignment horizontal="right" wrapText="1"/>
    </xf>
    <xf numFmtId="0" fontId="0" fillId="0" borderId="14" xfId="0" applyFill="1" applyBorder="1"/>
    <xf numFmtId="196" fontId="0" fillId="0" borderId="15" xfId="0" applyNumberFormat="1" applyBorder="1" applyAlignment="1">
      <alignment wrapText="1"/>
    </xf>
    <xf numFmtId="4" fontId="0" fillId="0" borderId="15" xfId="0" applyNumberFormat="1" applyBorder="1" applyAlignment="1">
      <alignment horizontal="right"/>
    </xf>
    <xf numFmtId="0" fontId="0" fillId="0" borderId="15" xfId="0" applyBorder="1" applyAlignment="1">
      <alignment vertical="top" wrapText="1"/>
    </xf>
    <xf numFmtId="2" fontId="0" fillId="0" borderId="15" xfId="0" applyNumberFormat="1" applyBorder="1"/>
    <xf numFmtId="2" fontId="0" fillId="0" borderId="15" xfId="0" applyNumberFormat="1" applyBorder="1" applyAlignment="1"/>
    <xf numFmtId="2" fontId="0" fillId="0" borderId="10" xfId="0" applyNumberFormat="1" applyBorder="1"/>
    <xf numFmtId="2" fontId="0" fillId="0" borderId="10" xfId="0" applyNumberFormat="1" applyBorder="1" applyAlignment="1"/>
    <xf numFmtId="198" fontId="0" fillId="0" borderId="15" xfId="0" applyNumberFormat="1" applyBorder="1" applyAlignment="1">
      <alignment horizontal="left" wrapText="1"/>
    </xf>
    <xf numFmtId="4" fontId="0" fillId="0" borderId="10" xfId="0" applyNumberFormat="1" applyBorder="1" applyAlignment="1">
      <alignment wrapText="1"/>
    </xf>
    <xf numFmtId="0" fontId="17" fillId="139" borderId="15" xfId="0" applyFont="1" applyFill="1" applyBorder="1" applyAlignment="1">
      <alignment vertical="center" wrapText="1"/>
    </xf>
    <xf numFmtId="2" fontId="0" fillId="0" borderId="15" xfId="0" applyNumberFormat="1" applyFill="1" applyBorder="1" applyAlignment="1">
      <alignment horizontal="left" vertical="center"/>
    </xf>
    <xf numFmtId="0" fontId="0" fillId="147" borderId="15" xfId="0" applyFill="1" applyBorder="1"/>
    <xf numFmtId="0" fontId="0" fillId="147" borderId="15" xfId="0" applyFill="1" applyBorder="1" applyAlignment="1">
      <alignment horizontal="left"/>
    </xf>
    <xf numFmtId="0" fontId="36" fillId="147" borderId="16" xfId="0" applyFont="1" applyFill="1" applyBorder="1" applyAlignment="1">
      <alignment horizontal="left" wrapText="1"/>
    </xf>
    <xf numFmtId="0" fontId="36" fillId="147" borderId="16" xfId="0" applyFont="1" applyFill="1" applyBorder="1" applyAlignment="1">
      <alignment horizontal="left" vertical="center" wrapText="1"/>
    </xf>
    <xf numFmtId="0" fontId="0" fillId="147" borderId="15" xfId="0" applyFill="1" applyBorder="1" applyAlignment="1">
      <alignment horizontal="left" wrapText="1"/>
    </xf>
    <xf numFmtId="0" fontId="17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56" fillId="0" borderId="15" xfId="0" applyFont="1" applyBorder="1" applyAlignment="1">
      <alignment horizontal="center" vertical="center" wrapText="1"/>
    </xf>
    <xf numFmtId="0" fontId="157" fillId="0" borderId="15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center" vertical="center" wrapText="1"/>
    </xf>
    <xf numFmtId="0" fontId="160" fillId="0" borderId="0" xfId="0" applyFont="1" applyAlignment="1">
      <alignment horizontal="center" wrapText="1"/>
    </xf>
    <xf numFmtId="0" fontId="17" fillId="0" borderId="10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56" fillId="0" borderId="11" xfId="0" applyFont="1" applyBorder="1" applyAlignment="1">
      <alignment horizontal="center" vertical="center" wrapText="1"/>
    </xf>
    <xf numFmtId="0" fontId="157" fillId="0" borderId="12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0" fillId="21" borderId="11" xfId="0" applyFont="1" applyFill="1" applyBorder="1" applyAlignment="1">
      <alignment horizontal="center" vertical="center"/>
    </xf>
    <xf numFmtId="0" fontId="21" fillId="21" borderId="12" xfId="0" applyFont="1" applyFill="1" applyBorder="1" applyAlignment="1">
      <alignment horizontal="center" vertical="center"/>
    </xf>
    <xf numFmtId="0" fontId="21" fillId="21" borderId="13" xfId="0" applyFont="1" applyFill="1" applyBorder="1" applyAlignment="1">
      <alignment horizontal="center" vertical="center"/>
    </xf>
    <xf numFmtId="0" fontId="0" fillId="0" borderId="14" xfId="0" applyBorder="1" applyAlignment="1"/>
    <xf numFmtId="0" fontId="0" fillId="0" borderId="16" xfId="0" applyBorder="1" applyAlignment="1"/>
    <xf numFmtId="0" fontId="0" fillId="0" borderId="12" xfId="0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17" fillId="0" borderId="15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29" fillId="0" borderId="15" xfId="0" applyFont="1" applyBorder="1" applyAlignment="1">
      <alignment horizontal="center" vertical="center"/>
    </xf>
    <xf numFmtId="0" fontId="129" fillId="137" borderId="48" xfId="0" applyFont="1" applyFill="1" applyBorder="1" applyAlignment="1">
      <alignment horizontal="center"/>
    </xf>
    <xf numFmtId="0" fontId="129" fillId="137" borderId="0" xfId="0" applyFont="1" applyFill="1" applyBorder="1" applyAlignment="1">
      <alignment horizontal="center"/>
    </xf>
    <xf numFmtId="0" fontId="129" fillId="137" borderId="11" xfId="0" applyFont="1" applyFill="1" applyBorder="1" applyAlignment="1">
      <alignment horizontal="center" vertical="center"/>
    </xf>
    <xf numFmtId="0" fontId="129" fillId="137" borderId="12" xfId="0" applyFont="1" applyFill="1" applyBorder="1" applyAlignment="1">
      <alignment horizontal="center" vertical="center"/>
    </xf>
    <xf numFmtId="0" fontId="129" fillId="137" borderId="13" xfId="0" applyFont="1" applyFill="1" applyBorder="1" applyAlignment="1">
      <alignment horizontal="center" vertical="center"/>
    </xf>
    <xf numFmtId="0" fontId="129" fillId="137" borderId="10" xfId="0" applyFont="1" applyFill="1" applyBorder="1" applyAlignment="1">
      <alignment horizontal="center" vertical="center" wrapText="1"/>
    </xf>
    <xf numFmtId="0" fontId="129" fillId="137" borderId="16" xfId="0" applyFont="1" applyFill="1" applyBorder="1" applyAlignment="1">
      <alignment horizontal="center" vertical="center" wrapText="1"/>
    </xf>
    <xf numFmtId="0" fontId="129" fillId="0" borderId="10" xfId="0" applyFont="1" applyBorder="1" applyAlignment="1">
      <alignment horizontal="center" vertical="center" wrapText="1"/>
    </xf>
    <xf numFmtId="0" fontId="129" fillId="0" borderId="16" xfId="0" applyFont="1" applyBorder="1" applyAlignment="1">
      <alignment horizontal="center" vertical="center" wrapText="1"/>
    </xf>
    <xf numFmtId="0" fontId="129" fillId="137" borderId="15" xfId="0" applyFont="1" applyFill="1" applyBorder="1" applyAlignment="1">
      <alignment horizontal="center" wrapText="1"/>
    </xf>
    <xf numFmtId="0" fontId="129" fillId="137" borderId="15" xfId="0" applyFont="1" applyFill="1" applyBorder="1" applyAlignment="1">
      <alignment horizontal="center"/>
    </xf>
    <xf numFmtId="0" fontId="129" fillId="137" borderId="15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2" fontId="0" fillId="0" borderId="59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" fontId="0" fillId="137" borderId="10" xfId="0" applyNumberFormat="1" applyFill="1" applyBorder="1" applyAlignment="1">
      <alignment horizontal="right" vertical="center"/>
    </xf>
    <xf numFmtId="4" fontId="0" fillId="137" borderId="16" xfId="0" applyNumberFormat="1" applyFill="1" applyBorder="1" applyAlignment="1">
      <alignment horizontal="right" vertical="center"/>
    </xf>
    <xf numFmtId="0" fontId="0" fillId="137" borderId="48" xfId="0" applyFill="1" applyBorder="1" applyAlignment="1">
      <alignment horizontal="left" wrapText="1"/>
    </xf>
    <xf numFmtId="0" fontId="0" fillId="137" borderId="0" xfId="0" applyFill="1" applyAlignment="1">
      <alignment horizontal="left" wrapText="1"/>
    </xf>
    <xf numFmtId="0" fontId="48" fillId="0" borderId="0" xfId="0" applyNumberFormat="1" applyFont="1" applyAlignment="1">
      <alignment wrapText="1"/>
    </xf>
    <xf numFmtId="0" fontId="35" fillId="0" borderId="0" xfId="0" applyNumberFormat="1" applyFont="1" applyAlignment="1">
      <alignment wrapText="1"/>
    </xf>
    <xf numFmtId="0" fontId="25" fillId="0" borderId="0" xfId="0" applyNumberFormat="1" applyFont="1" applyAlignment="1">
      <alignment vertical="top" wrapText="1"/>
    </xf>
    <xf numFmtId="0" fontId="51" fillId="142" borderId="49" xfId="0" applyNumberFormat="1" applyFont="1" applyFill="1" applyBorder="1" applyAlignment="1">
      <alignment vertical="top" wrapText="1"/>
    </xf>
    <xf numFmtId="0" fontId="163" fillId="142" borderId="49" xfId="0" applyNumberFormat="1" applyFont="1" applyFill="1" applyBorder="1" applyAlignment="1">
      <alignment horizontal="center" vertical="top"/>
    </xf>
    <xf numFmtId="0" fontId="164" fillId="0" borderId="54" xfId="0" applyNumberFormat="1" applyFont="1" applyBorder="1" applyAlignment="1">
      <alignment vertical="top" wrapText="1" indent="1"/>
    </xf>
    <xf numFmtId="0" fontId="51" fillId="142" borderId="50" xfId="0" applyNumberFormat="1" applyFont="1" applyFill="1" applyBorder="1" applyAlignment="1">
      <alignment vertical="top" wrapText="1"/>
    </xf>
    <xf numFmtId="0" fontId="51" fillId="142" borderId="51" xfId="0" applyNumberFormat="1" applyFont="1" applyFill="1" applyBorder="1" applyAlignment="1">
      <alignment vertical="top" wrapText="1"/>
    </xf>
    <xf numFmtId="0" fontId="51" fillId="142" borderId="52" xfId="0" applyNumberFormat="1" applyFont="1" applyFill="1" applyBorder="1" applyAlignment="1">
      <alignment vertical="top" wrapText="1"/>
    </xf>
    <xf numFmtId="0" fontId="163" fillId="142" borderId="50" xfId="0" applyNumberFormat="1" applyFont="1" applyFill="1" applyBorder="1" applyAlignment="1">
      <alignment horizontal="center" vertical="top"/>
    </xf>
    <xf numFmtId="0" fontId="163" fillId="142" borderId="53" xfId="0" applyNumberFormat="1" applyFont="1" applyFill="1" applyBorder="1" applyAlignment="1">
      <alignment horizontal="center" vertical="top"/>
    </xf>
    <xf numFmtId="0" fontId="163" fillId="142" borderId="51" xfId="0" applyNumberFormat="1" applyFont="1" applyFill="1" applyBorder="1" applyAlignment="1">
      <alignment horizontal="center" vertical="top"/>
    </xf>
    <xf numFmtId="0" fontId="163" fillId="142" borderId="52" xfId="0" applyNumberFormat="1" applyFont="1" applyFill="1" applyBorder="1" applyAlignment="1">
      <alignment horizontal="center" vertical="top"/>
    </xf>
    <xf numFmtId="0" fontId="51" fillId="143" borderId="54" xfId="0" applyNumberFormat="1" applyFont="1" applyFill="1" applyBorder="1" applyAlignment="1">
      <alignment vertical="top" wrapText="1"/>
    </xf>
    <xf numFmtId="0" fontId="166" fillId="142" borderId="49" xfId="0" applyNumberFormat="1" applyFont="1" applyFill="1" applyBorder="1" applyAlignment="1">
      <alignment vertical="top"/>
    </xf>
    <xf numFmtId="0" fontId="129" fillId="0" borderId="15" xfId="0" applyFont="1" applyFill="1" applyBorder="1" applyAlignment="1">
      <alignment horizontal="center" vertical="center" wrapText="1"/>
    </xf>
    <xf numFmtId="0" fontId="129" fillId="0" borderId="10" xfId="0" applyFont="1" applyFill="1" applyBorder="1" applyAlignment="1">
      <alignment horizontal="center" vertical="center" wrapText="1"/>
    </xf>
    <xf numFmtId="0" fontId="129" fillId="0" borderId="16" xfId="0" applyFont="1" applyFill="1" applyBorder="1" applyAlignment="1">
      <alignment horizontal="center" vertical="center" wrapText="1"/>
    </xf>
    <xf numFmtId="0" fontId="129" fillId="0" borderId="10" xfId="0" applyFont="1" applyFill="1" applyBorder="1" applyAlignment="1">
      <alignment horizontal="left" vertical="center" wrapText="1"/>
    </xf>
    <xf numFmtId="0" fontId="129" fillId="0" borderId="16" xfId="0" applyFont="1" applyFill="1" applyBorder="1" applyAlignment="1">
      <alignment horizontal="left" vertical="center" wrapText="1"/>
    </xf>
    <xf numFmtId="0" fontId="129" fillId="0" borderId="11" xfId="0" applyFont="1" applyFill="1" applyBorder="1" applyAlignment="1">
      <alignment horizontal="center" vertical="center"/>
    </xf>
    <xf numFmtId="0" fontId="129" fillId="0" borderId="12" xfId="0" applyFont="1" applyFill="1" applyBorder="1" applyAlignment="1">
      <alignment horizontal="center" vertical="center"/>
    </xf>
    <xf numFmtId="0" fontId="129" fillId="0" borderId="13" xfId="0" applyFont="1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 wrapText="1"/>
    </xf>
    <xf numFmtId="0" fontId="129" fillId="0" borderId="10" xfId="0" applyFont="1" applyFill="1" applyBorder="1" applyAlignment="1">
      <alignment horizontal="center" vertical="center"/>
    </xf>
    <xf numFmtId="0" fontId="129" fillId="0" borderId="16" xfId="0" applyFont="1" applyFill="1" applyBorder="1" applyAlignment="1">
      <alignment horizontal="center" vertical="center"/>
    </xf>
    <xf numFmtId="0" fontId="129" fillId="0" borderId="15" xfId="0" applyFont="1" applyFill="1" applyBorder="1" applyAlignment="1">
      <alignment horizontal="center"/>
    </xf>
    <xf numFmtId="0" fontId="0" fillId="0" borderId="15" xfId="0" applyBorder="1" applyAlignment="1">
      <alignment wrapText="1"/>
    </xf>
    <xf numFmtId="0" fontId="16" fillId="0" borderId="60" xfId="0" applyFont="1" applyBorder="1" applyAlignment="1">
      <alignment horizontal="center" vertical="center" wrapText="1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6" fillId="0" borderId="10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29" fillId="139" borderId="10" xfId="0" applyFont="1" applyFill="1" applyBorder="1" applyAlignment="1">
      <alignment horizontal="center" vertical="center" wrapText="1"/>
    </xf>
    <xf numFmtId="0" fontId="129" fillId="139" borderId="16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7" fillId="0" borderId="0" xfId="3861" applyFont="1" applyAlignment="1">
      <alignment horizontal="center"/>
    </xf>
    <xf numFmtId="0" fontId="139" fillId="0" borderId="0" xfId="3861" applyFont="1" applyFill="1" applyBorder="1" applyAlignment="1">
      <alignment horizontal="left" vertical="distributed"/>
    </xf>
  </cellXfs>
  <cellStyles count="7231">
    <cellStyle name="%" xfId="1" xr:uid="{00000000-0005-0000-0000-000000000000}"/>
    <cellStyle name="%_Inputs" xfId="2" xr:uid="{00000000-0005-0000-0000-000001000000}"/>
    <cellStyle name="%_Inputs (const)" xfId="3" xr:uid="{00000000-0005-0000-0000-000002000000}"/>
    <cellStyle name="%_Inputs Co" xfId="4" xr:uid="{00000000-0005-0000-0000-000003000000}"/>
    <cellStyle name="%_Inputs Co 2" xfId="5" xr:uid="{00000000-0005-0000-0000-000004000000}"/>
    <cellStyle name="_20080108 Стоимость_трансп" xfId="6" xr:uid="{00000000-0005-0000-0000-000005000000}"/>
    <cellStyle name="_Model_RAB Мой" xfId="7" xr:uid="{00000000-0005-0000-0000-000006000000}"/>
    <cellStyle name="_Model_RAB_MRSK_svod" xfId="8" xr:uid="{00000000-0005-0000-0000-000007000000}"/>
    <cellStyle name="_Model_RAB_MRSK_svod 2" xfId="9" xr:uid="{00000000-0005-0000-0000-000008000000}"/>
    <cellStyle name="_Ввод" xfId="10" xr:uid="{00000000-0005-0000-0000-000009000000}"/>
    <cellStyle name="_выручка по присоединениям2" xfId="11" xr:uid="{00000000-0005-0000-0000-00000A000000}"/>
    <cellStyle name="_Исходные данные для модели" xfId="12" xr:uid="{00000000-0005-0000-0000-00000B000000}"/>
    <cellStyle name="_Книга1" xfId="13" xr:uid="{00000000-0005-0000-0000-00000C000000}"/>
    <cellStyle name="_Книга1 2" xfId="14" xr:uid="{00000000-0005-0000-0000-00000D000000}"/>
    <cellStyle name="_Книга1 3" xfId="15" xr:uid="{00000000-0005-0000-0000-00000E000000}"/>
    <cellStyle name="_Книга1_Копия АРМ_БП_РСК_V10 0_20100213" xfId="16" xr:uid="{00000000-0005-0000-0000-00000F000000}"/>
    <cellStyle name="_Книга1_Копия АРМ_БП_РСК_V10 0_20100213 2" xfId="17" xr:uid="{00000000-0005-0000-0000-000010000000}"/>
    <cellStyle name="_Книга1_Копия АРМ_БП_РСК_V10 0_20100213 3" xfId="18" xr:uid="{00000000-0005-0000-0000-000011000000}"/>
    <cellStyle name="_МОДЕЛЬ_1 (2)" xfId="19" xr:uid="{00000000-0005-0000-0000-000012000000}"/>
    <cellStyle name="_НВВ 2009 постатейно свод по филиалам_09_02_09" xfId="20" xr:uid="{00000000-0005-0000-0000-000013000000}"/>
    <cellStyle name="_НВВ 2009 постатейно свод по филиалам_для Валентина" xfId="21" xr:uid="{00000000-0005-0000-0000-000014000000}"/>
    <cellStyle name="_Омск" xfId="22" xr:uid="{00000000-0005-0000-0000-000015000000}"/>
    <cellStyle name="_пр 5 тариф RAB" xfId="23" xr:uid="{00000000-0005-0000-0000-000016000000}"/>
    <cellStyle name="_Предожение _ДБП_2009 г ( согласованные БП)  (2)" xfId="24" xr:uid="{00000000-0005-0000-0000-000017000000}"/>
    <cellStyle name="_Приложение МТС-3-КС" xfId="25" xr:uid="{00000000-0005-0000-0000-000018000000}"/>
    <cellStyle name="_Приложение-МТС--2-1" xfId="26" xr:uid="{00000000-0005-0000-0000-000019000000}"/>
    <cellStyle name="_Расчет RAB_22072008" xfId="27" xr:uid="{00000000-0005-0000-0000-00001A000000}"/>
    <cellStyle name="_Расчет RAB_Лен и МОЭСК_с 2010 года_14.04.2009_со сглаж_version 3.0_без ФСК" xfId="28" xr:uid="{00000000-0005-0000-0000-00001B000000}"/>
    <cellStyle name="_Свод по ИПР (2)" xfId="29" xr:uid="{00000000-0005-0000-0000-00001C000000}"/>
    <cellStyle name="_таблицы для расчетов28-04-08_2006-2009_прибыль корр_по ИА" xfId="30" xr:uid="{00000000-0005-0000-0000-00001D000000}"/>
    <cellStyle name="_таблицы для расчетов28-04-08_2006-2009с ИА" xfId="31" xr:uid="{00000000-0005-0000-0000-00001E000000}"/>
    <cellStyle name="_Форма 6  РТК.xls(отчет по Адр пр. ЛО)" xfId="32" xr:uid="{00000000-0005-0000-0000-00001F000000}"/>
    <cellStyle name="_Формат разбивки по МРСК_РСК" xfId="33" xr:uid="{00000000-0005-0000-0000-000020000000}"/>
    <cellStyle name="_Формат_для Согласования" xfId="34" xr:uid="{00000000-0005-0000-0000-000021000000}"/>
    <cellStyle name="_Чек" xfId="35" xr:uid="{00000000-0005-0000-0000-000022000000}"/>
    <cellStyle name="”ќђќ‘ћ‚›‰" xfId="36" xr:uid="{00000000-0005-0000-0000-000023000000}"/>
    <cellStyle name="”ќђќ‘ћ‚›‰ 2" xfId="37" xr:uid="{00000000-0005-0000-0000-000024000000}"/>
    <cellStyle name="”љ‘ђћ‚ђќќ›‰" xfId="38" xr:uid="{00000000-0005-0000-0000-000025000000}"/>
    <cellStyle name="”љ‘ђћ‚ђќќ›‰ 2" xfId="39" xr:uid="{00000000-0005-0000-0000-000026000000}"/>
    <cellStyle name="„…ќ…†ќ›‰" xfId="40" xr:uid="{00000000-0005-0000-0000-000027000000}"/>
    <cellStyle name="„…ќ…†ќ›‰ 2" xfId="41" xr:uid="{00000000-0005-0000-0000-000028000000}"/>
    <cellStyle name="‡ђѓћ‹ћ‚ћљ1" xfId="42" xr:uid="{00000000-0005-0000-0000-000029000000}"/>
    <cellStyle name="‡ђѓћ‹ћ‚ћљ1 2" xfId="43" xr:uid="{00000000-0005-0000-0000-00002A000000}"/>
    <cellStyle name="‡ђѓћ‹ћ‚ћљ2" xfId="44" xr:uid="{00000000-0005-0000-0000-00002B000000}"/>
    <cellStyle name="‡ђѓћ‹ћ‚ћљ2 2" xfId="45" xr:uid="{00000000-0005-0000-0000-00002C000000}"/>
    <cellStyle name="’ћѓћ‚›‰" xfId="46" xr:uid="{00000000-0005-0000-0000-00002D000000}"/>
    <cellStyle name="’ћѓћ‚›‰ 2" xfId="47" xr:uid="{00000000-0005-0000-0000-00002E000000}"/>
    <cellStyle name="20% - Акцент1 10" xfId="48" xr:uid="{00000000-0005-0000-0000-00002F000000}"/>
    <cellStyle name="20% - Акцент1 10 2" xfId="49" xr:uid="{00000000-0005-0000-0000-000030000000}"/>
    <cellStyle name="20% - Акцент1 10 3" xfId="50" xr:uid="{00000000-0005-0000-0000-000031000000}"/>
    <cellStyle name="20% - Акцент1 10 4" xfId="51" xr:uid="{00000000-0005-0000-0000-000032000000}"/>
    <cellStyle name="20% - Акцент1 10 5" xfId="52" xr:uid="{00000000-0005-0000-0000-000033000000}"/>
    <cellStyle name="20% - Акцент1 10 6" xfId="53" xr:uid="{00000000-0005-0000-0000-000034000000}"/>
    <cellStyle name="20% - Акцент1 11" xfId="54" xr:uid="{00000000-0005-0000-0000-000035000000}"/>
    <cellStyle name="20% - Акцент1 11 2" xfId="55" xr:uid="{00000000-0005-0000-0000-000036000000}"/>
    <cellStyle name="20% - Акцент1 11 3" xfId="56" xr:uid="{00000000-0005-0000-0000-000037000000}"/>
    <cellStyle name="20% - Акцент1 11 4" xfId="57" xr:uid="{00000000-0005-0000-0000-000038000000}"/>
    <cellStyle name="20% - Акцент1 11 5" xfId="58" xr:uid="{00000000-0005-0000-0000-000039000000}"/>
    <cellStyle name="20% - Акцент1 11 6" xfId="59" xr:uid="{00000000-0005-0000-0000-00003A000000}"/>
    <cellStyle name="20% - Акцент1 12" xfId="60" xr:uid="{00000000-0005-0000-0000-00003B000000}"/>
    <cellStyle name="20% - Акцент1 12 2" xfId="61" xr:uid="{00000000-0005-0000-0000-00003C000000}"/>
    <cellStyle name="20% - Акцент1 12 3" xfId="62" xr:uid="{00000000-0005-0000-0000-00003D000000}"/>
    <cellStyle name="20% - Акцент1 12 4" xfId="63" xr:uid="{00000000-0005-0000-0000-00003E000000}"/>
    <cellStyle name="20% - Акцент1 12 5" xfId="64" xr:uid="{00000000-0005-0000-0000-00003F000000}"/>
    <cellStyle name="20% - Акцент1 12 6" xfId="65" xr:uid="{00000000-0005-0000-0000-000040000000}"/>
    <cellStyle name="20% - Акцент1 13" xfId="66" xr:uid="{00000000-0005-0000-0000-000041000000}"/>
    <cellStyle name="20% - Акцент1 13 2" xfId="67" xr:uid="{00000000-0005-0000-0000-000042000000}"/>
    <cellStyle name="20% - Акцент1 13 3" xfId="68" xr:uid="{00000000-0005-0000-0000-000043000000}"/>
    <cellStyle name="20% - Акцент1 13 4" xfId="69" xr:uid="{00000000-0005-0000-0000-000044000000}"/>
    <cellStyle name="20% - Акцент1 13 5" xfId="70" xr:uid="{00000000-0005-0000-0000-000045000000}"/>
    <cellStyle name="20% - Акцент1 13 6" xfId="71" xr:uid="{00000000-0005-0000-0000-000046000000}"/>
    <cellStyle name="20% - Акцент1 14" xfId="72" xr:uid="{00000000-0005-0000-0000-000047000000}"/>
    <cellStyle name="20% - Акцент1 14 2" xfId="73" xr:uid="{00000000-0005-0000-0000-000048000000}"/>
    <cellStyle name="20% - Акцент1 14 3" xfId="74" xr:uid="{00000000-0005-0000-0000-000049000000}"/>
    <cellStyle name="20% - Акцент1 14 4" xfId="75" xr:uid="{00000000-0005-0000-0000-00004A000000}"/>
    <cellStyle name="20% - Акцент1 14 5" xfId="76" xr:uid="{00000000-0005-0000-0000-00004B000000}"/>
    <cellStyle name="20% - Акцент1 14 6" xfId="77" xr:uid="{00000000-0005-0000-0000-00004C000000}"/>
    <cellStyle name="20% - Акцент1 15" xfId="78" xr:uid="{00000000-0005-0000-0000-00004D000000}"/>
    <cellStyle name="20% - Акцент1 15 2" xfId="79" xr:uid="{00000000-0005-0000-0000-00004E000000}"/>
    <cellStyle name="20% - Акцент1 15 3" xfId="80" xr:uid="{00000000-0005-0000-0000-00004F000000}"/>
    <cellStyle name="20% - Акцент1 15 4" xfId="81" xr:uid="{00000000-0005-0000-0000-000050000000}"/>
    <cellStyle name="20% - Акцент1 15 5" xfId="82" xr:uid="{00000000-0005-0000-0000-000051000000}"/>
    <cellStyle name="20% - Акцент1 15 6" xfId="83" xr:uid="{00000000-0005-0000-0000-000052000000}"/>
    <cellStyle name="20% - Акцент1 2" xfId="84" xr:uid="{00000000-0005-0000-0000-000053000000}"/>
    <cellStyle name="20% - Акцент1 2 10" xfId="85" xr:uid="{00000000-0005-0000-0000-000054000000}"/>
    <cellStyle name="20% - Акцент1 2 10 2" xfId="86" xr:uid="{00000000-0005-0000-0000-000055000000}"/>
    <cellStyle name="20% - Акцент1 2 10 3" xfId="87" xr:uid="{00000000-0005-0000-0000-000056000000}"/>
    <cellStyle name="20% - Акцент1 2 10 4" xfId="88" xr:uid="{00000000-0005-0000-0000-000057000000}"/>
    <cellStyle name="20% - Акцент1 2 10 5" xfId="89" xr:uid="{00000000-0005-0000-0000-000058000000}"/>
    <cellStyle name="20% - Акцент1 2 10 6" xfId="90" xr:uid="{00000000-0005-0000-0000-000059000000}"/>
    <cellStyle name="20% - Акцент1 2 11" xfId="91" xr:uid="{00000000-0005-0000-0000-00005A000000}"/>
    <cellStyle name="20% - Акцент1 2 11 2" xfId="92" xr:uid="{00000000-0005-0000-0000-00005B000000}"/>
    <cellStyle name="20% - Акцент1 2 11 3" xfId="93" xr:uid="{00000000-0005-0000-0000-00005C000000}"/>
    <cellStyle name="20% - Акцент1 2 11 4" xfId="94" xr:uid="{00000000-0005-0000-0000-00005D000000}"/>
    <cellStyle name="20% - Акцент1 2 11 5" xfId="95" xr:uid="{00000000-0005-0000-0000-00005E000000}"/>
    <cellStyle name="20% - Акцент1 2 11 6" xfId="96" xr:uid="{00000000-0005-0000-0000-00005F000000}"/>
    <cellStyle name="20% - Акцент1 2 12" xfId="97" xr:uid="{00000000-0005-0000-0000-000060000000}"/>
    <cellStyle name="20% - Акцент1 2 12 2" xfId="98" xr:uid="{00000000-0005-0000-0000-000061000000}"/>
    <cellStyle name="20% - Акцент1 2 12 3" xfId="99" xr:uid="{00000000-0005-0000-0000-000062000000}"/>
    <cellStyle name="20% - Акцент1 2 12 4" xfId="100" xr:uid="{00000000-0005-0000-0000-000063000000}"/>
    <cellStyle name="20% - Акцент1 2 12 5" xfId="101" xr:uid="{00000000-0005-0000-0000-000064000000}"/>
    <cellStyle name="20% - Акцент1 2 12 6" xfId="102" xr:uid="{00000000-0005-0000-0000-000065000000}"/>
    <cellStyle name="20% - Акцент1 2 13" xfId="103" xr:uid="{00000000-0005-0000-0000-000066000000}"/>
    <cellStyle name="20% - Акцент1 2 14" xfId="104" xr:uid="{00000000-0005-0000-0000-000067000000}"/>
    <cellStyle name="20% - Акцент1 2 15" xfId="105" xr:uid="{00000000-0005-0000-0000-000068000000}"/>
    <cellStyle name="20% - Акцент1 2 16" xfId="106" xr:uid="{00000000-0005-0000-0000-000069000000}"/>
    <cellStyle name="20% - Акцент1 2 17" xfId="107" xr:uid="{00000000-0005-0000-0000-00006A000000}"/>
    <cellStyle name="20% - Акцент1 2 2" xfId="108" xr:uid="{00000000-0005-0000-0000-00006B000000}"/>
    <cellStyle name="20% - Акцент1 2 2 2" xfId="109" xr:uid="{00000000-0005-0000-0000-00006C000000}"/>
    <cellStyle name="20% - Акцент1 2 2 3" xfId="110" xr:uid="{00000000-0005-0000-0000-00006D000000}"/>
    <cellStyle name="20% - Акцент1 2 2 3 2" xfId="111" xr:uid="{00000000-0005-0000-0000-00006E000000}"/>
    <cellStyle name="20% - Акцент1 2 2 4" xfId="112" xr:uid="{00000000-0005-0000-0000-00006F000000}"/>
    <cellStyle name="20% - Акцент1 2 2 5" xfId="113" xr:uid="{00000000-0005-0000-0000-000070000000}"/>
    <cellStyle name="20% - Акцент1 2 2 6" xfId="114" xr:uid="{00000000-0005-0000-0000-000071000000}"/>
    <cellStyle name="20% - Акцент1 2 3" xfId="115" xr:uid="{00000000-0005-0000-0000-000072000000}"/>
    <cellStyle name="20% - Акцент1 2 3 2" xfId="116" xr:uid="{00000000-0005-0000-0000-000073000000}"/>
    <cellStyle name="20% - Акцент1 2 3 2 2" xfId="117" xr:uid="{00000000-0005-0000-0000-000074000000}"/>
    <cellStyle name="20% - Акцент1 2 3 3" xfId="118" xr:uid="{00000000-0005-0000-0000-000075000000}"/>
    <cellStyle name="20% - Акцент1 2 3 4" xfId="119" xr:uid="{00000000-0005-0000-0000-000076000000}"/>
    <cellStyle name="20% - Акцент1 2 3 5" xfId="120" xr:uid="{00000000-0005-0000-0000-000077000000}"/>
    <cellStyle name="20% - Акцент1 2 3 6" xfId="121" xr:uid="{00000000-0005-0000-0000-000078000000}"/>
    <cellStyle name="20% - Акцент1 2 4" xfId="122" xr:uid="{00000000-0005-0000-0000-000079000000}"/>
    <cellStyle name="20% - Акцент1 2 4 2" xfId="123" xr:uid="{00000000-0005-0000-0000-00007A000000}"/>
    <cellStyle name="20% - Акцент1 2 4 3" xfId="124" xr:uid="{00000000-0005-0000-0000-00007B000000}"/>
    <cellStyle name="20% - Акцент1 2 4 4" xfId="125" xr:uid="{00000000-0005-0000-0000-00007C000000}"/>
    <cellStyle name="20% - Акцент1 2 4 5" xfId="126" xr:uid="{00000000-0005-0000-0000-00007D000000}"/>
    <cellStyle name="20% - Акцент1 2 4 6" xfId="127" xr:uid="{00000000-0005-0000-0000-00007E000000}"/>
    <cellStyle name="20% - Акцент1 2 4 7" xfId="128" xr:uid="{00000000-0005-0000-0000-00007F000000}"/>
    <cellStyle name="20% - Акцент1 2 5" xfId="129" xr:uid="{00000000-0005-0000-0000-000080000000}"/>
    <cellStyle name="20% - Акцент1 2 5 2" xfId="130" xr:uid="{00000000-0005-0000-0000-000081000000}"/>
    <cellStyle name="20% - Акцент1 2 5 3" xfId="131" xr:uid="{00000000-0005-0000-0000-000082000000}"/>
    <cellStyle name="20% - Акцент1 2 5 4" xfId="132" xr:uid="{00000000-0005-0000-0000-000083000000}"/>
    <cellStyle name="20% - Акцент1 2 5 5" xfId="133" xr:uid="{00000000-0005-0000-0000-000084000000}"/>
    <cellStyle name="20% - Акцент1 2 5 6" xfId="134" xr:uid="{00000000-0005-0000-0000-000085000000}"/>
    <cellStyle name="20% - Акцент1 2 5 7" xfId="135" xr:uid="{00000000-0005-0000-0000-000086000000}"/>
    <cellStyle name="20% - Акцент1 2 6" xfId="136" xr:uid="{00000000-0005-0000-0000-000087000000}"/>
    <cellStyle name="20% - Акцент1 2 6 2" xfId="137" xr:uid="{00000000-0005-0000-0000-000088000000}"/>
    <cellStyle name="20% - Акцент1 2 6 3" xfId="138" xr:uid="{00000000-0005-0000-0000-000089000000}"/>
    <cellStyle name="20% - Акцент1 2 6 4" xfId="139" xr:uid="{00000000-0005-0000-0000-00008A000000}"/>
    <cellStyle name="20% - Акцент1 2 6 5" xfId="140" xr:uid="{00000000-0005-0000-0000-00008B000000}"/>
    <cellStyle name="20% - Акцент1 2 6 6" xfId="141" xr:uid="{00000000-0005-0000-0000-00008C000000}"/>
    <cellStyle name="20% - Акцент1 2 6 7" xfId="142" xr:uid="{00000000-0005-0000-0000-00008D000000}"/>
    <cellStyle name="20% - Акцент1 2 7" xfId="143" xr:uid="{00000000-0005-0000-0000-00008E000000}"/>
    <cellStyle name="20% - Акцент1 2 7 2" xfId="144" xr:uid="{00000000-0005-0000-0000-00008F000000}"/>
    <cellStyle name="20% - Акцент1 2 7 3" xfId="145" xr:uid="{00000000-0005-0000-0000-000090000000}"/>
    <cellStyle name="20% - Акцент1 2 7 4" xfId="146" xr:uid="{00000000-0005-0000-0000-000091000000}"/>
    <cellStyle name="20% - Акцент1 2 7 5" xfId="147" xr:uid="{00000000-0005-0000-0000-000092000000}"/>
    <cellStyle name="20% - Акцент1 2 7 6" xfId="148" xr:uid="{00000000-0005-0000-0000-000093000000}"/>
    <cellStyle name="20% - Акцент1 2 8" xfId="149" xr:uid="{00000000-0005-0000-0000-000094000000}"/>
    <cellStyle name="20% - Акцент1 2 8 2" xfId="150" xr:uid="{00000000-0005-0000-0000-000095000000}"/>
    <cellStyle name="20% - Акцент1 2 8 3" xfId="151" xr:uid="{00000000-0005-0000-0000-000096000000}"/>
    <cellStyle name="20% - Акцент1 2 8 4" xfId="152" xr:uid="{00000000-0005-0000-0000-000097000000}"/>
    <cellStyle name="20% - Акцент1 2 8 5" xfId="153" xr:uid="{00000000-0005-0000-0000-000098000000}"/>
    <cellStyle name="20% - Акцент1 2 8 6" xfId="154" xr:uid="{00000000-0005-0000-0000-000099000000}"/>
    <cellStyle name="20% - Акцент1 2 9" xfId="155" xr:uid="{00000000-0005-0000-0000-00009A000000}"/>
    <cellStyle name="20% - Акцент1 2 9 2" xfId="156" xr:uid="{00000000-0005-0000-0000-00009B000000}"/>
    <cellStyle name="20% - Акцент1 2 9 3" xfId="157" xr:uid="{00000000-0005-0000-0000-00009C000000}"/>
    <cellStyle name="20% - Акцент1 2 9 4" xfId="158" xr:uid="{00000000-0005-0000-0000-00009D000000}"/>
    <cellStyle name="20% - Акцент1 2 9 5" xfId="159" xr:uid="{00000000-0005-0000-0000-00009E000000}"/>
    <cellStyle name="20% - Акцент1 2 9 6" xfId="160" xr:uid="{00000000-0005-0000-0000-00009F000000}"/>
    <cellStyle name="20% - Акцент1 2_2355 Голубева" xfId="161" xr:uid="{00000000-0005-0000-0000-0000A0000000}"/>
    <cellStyle name="20% - Акцент1 3" xfId="162" xr:uid="{00000000-0005-0000-0000-0000A1000000}"/>
    <cellStyle name="20% - Акцент1 3 2" xfId="163" xr:uid="{00000000-0005-0000-0000-0000A2000000}"/>
    <cellStyle name="20% - Акцент1 3 2 2" xfId="164" xr:uid="{00000000-0005-0000-0000-0000A3000000}"/>
    <cellStyle name="20% - Акцент1 3 3" xfId="165" xr:uid="{00000000-0005-0000-0000-0000A4000000}"/>
    <cellStyle name="20% - Акцент1 3 4" xfId="166" xr:uid="{00000000-0005-0000-0000-0000A5000000}"/>
    <cellStyle name="20% - Акцент1 3 5" xfId="167" xr:uid="{00000000-0005-0000-0000-0000A6000000}"/>
    <cellStyle name="20% - Акцент1 3 6" xfId="168" xr:uid="{00000000-0005-0000-0000-0000A7000000}"/>
    <cellStyle name="20% - Акцент1 4" xfId="169" xr:uid="{00000000-0005-0000-0000-0000A8000000}"/>
    <cellStyle name="20% - Акцент1 4 2" xfId="170" xr:uid="{00000000-0005-0000-0000-0000A9000000}"/>
    <cellStyle name="20% - Акцент1 4 3" xfId="171" xr:uid="{00000000-0005-0000-0000-0000AA000000}"/>
    <cellStyle name="20% - Акцент1 4 4" xfId="172" xr:uid="{00000000-0005-0000-0000-0000AB000000}"/>
    <cellStyle name="20% - Акцент1 4 5" xfId="173" xr:uid="{00000000-0005-0000-0000-0000AC000000}"/>
    <cellStyle name="20% - Акцент1 4 6" xfId="174" xr:uid="{00000000-0005-0000-0000-0000AD000000}"/>
    <cellStyle name="20% - Акцент1 4 7" xfId="175" xr:uid="{00000000-0005-0000-0000-0000AE000000}"/>
    <cellStyle name="20% - Акцент1 5" xfId="176" xr:uid="{00000000-0005-0000-0000-0000AF000000}"/>
    <cellStyle name="20% - Акцент1 5 2" xfId="177" xr:uid="{00000000-0005-0000-0000-0000B0000000}"/>
    <cellStyle name="20% - Акцент1 5 3" xfId="178" xr:uid="{00000000-0005-0000-0000-0000B1000000}"/>
    <cellStyle name="20% - Акцент1 5 4" xfId="179" xr:uid="{00000000-0005-0000-0000-0000B2000000}"/>
    <cellStyle name="20% - Акцент1 5 5" xfId="180" xr:uid="{00000000-0005-0000-0000-0000B3000000}"/>
    <cellStyle name="20% - Акцент1 5 6" xfId="181" xr:uid="{00000000-0005-0000-0000-0000B4000000}"/>
    <cellStyle name="20% - Акцент1 5 7" xfId="182" xr:uid="{00000000-0005-0000-0000-0000B5000000}"/>
    <cellStyle name="20% - Акцент1 6" xfId="183" xr:uid="{00000000-0005-0000-0000-0000B6000000}"/>
    <cellStyle name="20% - Акцент1 6 2" xfId="184" xr:uid="{00000000-0005-0000-0000-0000B7000000}"/>
    <cellStyle name="20% - Акцент1 6 3" xfId="185" xr:uid="{00000000-0005-0000-0000-0000B8000000}"/>
    <cellStyle name="20% - Акцент1 6 4" xfId="186" xr:uid="{00000000-0005-0000-0000-0000B9000000}"/>
    <cellStyle name="20% - Акцент1 6 5" xfId="187" xr:uid="{00000000-0005-0000-0000-0000BA000000}"/>
    <cellStyle name="20% - Акцент1 6 6" xfId="188" xr:uid="{00000000-0005-0000-0000-0000BB000000}"/>
    <cellStyle name="20% - Акцент1 6 7" xfId="189" xr:uid="{00000000-0005-0000-0000-0000BC000000}"/>
    <cellStyle name="20% - Акцент1 7" xfId="190" xr:uid="{00000000-0005-0000-0000-0000BD000000}"/>
    <cellStyle name="20% - Акцент1 7 2" xfId="191" xr:uid="{00000000-0005-0000-0000-0000BE000000}"/>
    <cellStyle name="20% - Акцент1 7 3" xfId="192" xr:uid="{00000000-0005-0000-0000-0000BF000000}"/>
    <cellStyle name="20% - Акцент1 7 4" xfId="193" xr:uid="{00000000-0005-0000-0000-0000C0000000}"/>
    <cellStyle name="20% - Акцент1 7 5" xfId="194" xr:uid="{00000000-0005-0000-0000-0000C1000000}"/>
    <cellStyle name="20% - Акцент1 7 6" xfId="195" xr:uid="{00000000-0005-0000-0000-0000C2000000}"/>
    <cellStyle name="20% - Акцент1 7 7" xfId="196" xr:uid="{00000000-0005-0000-0000-0000C3000000}"/>
    <cellStyle name="20% - Акцент1 8" xfId="197" xr:uid="{00000000-0005-0000-0000-0000C4000000}"/>
    <cellStyle name="20% - Акцент1 8 2" xfId="198" xr:uid="{00000000-0005-0000-0000-0000C5000000}"/>
    <cellStyle name="20% - Акцент1 8 3" xfId="199" xr:uid="{00000000-0005-0000-0000-0000C6000000}"/>
    <cellStyle name="20% - Акцент1 8 4" xfId="200" xr:uid="{00000000-0005-0000-0000-0000C7000000}"/>
    <cellStyle name="20% - Акцент1 8 5" xfId="201" xr:uid="{00000000-0005-0000-0000-0000C8000000}"/>
    <cellStyle name="20% - Акцент1 8 6" xfId="202" xr:uid="{00000000-0005-0000-0000-0000C9000000}"/>
    <cellStyle name="20% - Акцент1 8 7" xfId="203" xr:uid="{00000000-0005-0000-0000-0000CA000000}"/>
    <cellStyle name="20% - Акцент1 9" xfId="204" xr:uid="{00000000-0005-0000-0000-0000CB000000}"/>
    <cellStyle name="20% - Акцент1 9 2" xfId="205" xr:uid="{00000000-0005-0000-0000-0000CC000000}"/>
    <cellStyle name="20% - Акцент1 9 3" xfId="206" xr:uid="{00000000-0005-0000-0000-0000CD000000}"/>
    <cellStyle name="20% - Акцент1 9 4" xfId="207" xr:uid="{00000000-0005-0000-0000-0000CE000000}"/>
    <cellStyle name="20% - Акцент1 9 5" xfId="208" xr:uid="{00000000-0005-0000-0000-0000CF000000}"/>
    <cellStyle name="20% - Акцент1 9 6" xfId="209" xr:uid="{00000000-0005-0000-0000-0000D0000000}"/>
    <cellStyle name="20% - Акцент1 9 7" xfId="210" xr:uid="{00000000-0005-0000-0000-0000D1000000}"/>
    <cellStyle name="20% - Акцент2 10" xfId="211" xr:uid="{00000000-0005-0000-0000-0000D2000000}"/>
    <cellStyle name="20% - Акцент2 10 2" xfId="212" xr:uid="{00000000-0005-0000-0000-0000D3000000}"/>
    <cellStyle name="20% - Акцент2 10 3" xfId="213" xr:uid="{00000000-0005-0000-0000-0000D4000000}"/>
    <cellStyle name="20% - Акцент2 10 4" xfId="214" xr:uid="{00000000-0005-0000-0000-0000D5000000}"/>
    <cellStyle name="20% - Акцент2 10 5" xfId="215" xr:uid="{00000000-0005-0000-0000-0000D6000000}"/>
    <cellStyle name="20% - Акцент2 10 6" xfId="216" xr:uid="{00000000-0005-0000-0000-0000D7000000}"/>
    <cellStyle name="20% - Акцент2 11" xfId="217" xr:uid="{00000000-0005-0000-0000-0000D8000000}"/>
    <cellStyle name="20% - Акцент2 11 2" xfId="218" xr:uid="{00000000-0005-0000-0000-0000D9000000}"/>
    <cellStyle name="20% - Акцент2 11 3" xfId="219" xr:uid="{00000000-0005-0000-0000-0000DA000000}"/>
    <cellStyle name="20% - Акцент2 11 4" xfId="220" xr:uid="{00000000-0005-0000-0000-0000DB000000}"/>
    <cellStyle name="20% - Акцент2 11 5" xfId="221" xr:uid="{00000000-0005-0000-0000-0000DC000000}"/>
    <cellStyle name="20% - Акцент2 11 6" xfId="222" xr:uid="{00000000-0005-0000-0000-0000DD000000}"/>
    <cellStyle name="20% - Акцент2 12" xfId="223" xr:uid="{00000000-0005-0000-0000-0000DE000000}"/>
    <cellStyle name="20% - Акцент2 12 2" xfId="224" xr:uid="{00000000-0005-0000-0000-0000DF000000}"/>
    <cellStyle name="20% - Акцент2 12 3" xfId="225" xr:uid="{00000000-0005-0000-0000-0000E0000000}"/>
    <cellStyle name="20% - Акцент2 12 4" xfId="226" xr:uid="{00000000-0005-0000-0000-0000E1000000}"/>
    <cellStyle name="20% - Акцент2 12 5" xfId="227" xr:uid="{00000000-0005-0000-0000-0000E2000000}"/>
    <cellStyle name="20% - Акцент2 12 6" xfId="228" xr:uid="{00000000-0005-0000-0000-0000E3000000}"/>
    <cellStyle name="20% - Акцент2 13" xfId="229" xr:uid="{00000000-0005-0000-0000-0000E4000000}"/>
    <cellStyle name="20% - Акцент2 13 2" xfId="230" xr:uid="{00000000-0005-0000-0000-0000E5000000}"/>
    <cellStyle name="20% - Акцент2 13 3" xfId="231" xr:uid="{00000000-0005-0000-0000-0000E6000000}"/>
    <cellStyle name="20% - Акцент2 13 4" xfId="232" xr:uid="{00000000-0005-0000-0000-0000E7000000}"/>
    <cellStyle name="20% - Акцент2 13 5" xfId="233" xr:uid="{00000000-0005-0000-0000-0000E8000000}"/>
    <cellStyle name="20% - Акцент2 13 6" xfId="234" xr:uid="{00000000-0005-0000-0000-0000E9000000}"/>
    <cellStyle name="20% - Акцент2 14" xfId="235" xr:uid="{00000000-0005-0000-0000-0000EA000000}"/>
    <cellStyle name="20% - Акцент2 14 2" xfId="236" xr:uid="{00000000-0005-0000-0000-0000EB000000}"/>
    <cellStyle name="20% - Акцент2 14 3" xfId="237" xr:uid="{00000000-0005-0000-0000-0000EC000000}"/>
    <cellStyle name="20% - Акцент2 14 4" xfId="238" xr:uid="{00000000-0005-0000-0000-0000ED000000}"/>
    <cellStyle name="20% - Акцент2 14 5" xfId="239" xr:uid="{00000000-0005-0000-0000-0000EE000000}"/>
    <cellStyle name="20% - Акцент2 14 6" xfId="240" xr:uid="{00000000-0005-0000-0000-0000EF000000}"/>
    <cellStyle name="20% - Акцент2 15" xfId="241" xr:uid="{00000000-0005-0000-0000-0000F0000000}"/>
    <cellStyle name="20% - Акцент2 15 2" xfId="242" xr:uid="{00000000-0005-0000-0000-0000F1000000}"/>
    <cellStyle name="20% - Акцент2 15 3" xfId="243" xr:uid="{00000000-0005-0000-0000-0000F2000000}"/>
    <cellStyle name="20% - Акцент2 15 4" xfId="244" xr:uid="{00000000-0005-0000-0000-0000F3000000}"/>
    <cellStyle name="20% - Акцент2 15 5" xfId="245" xr:uid="{00000000-0005-0000-0000-0000F4000000}"/>
    <cellStyle name="20% - Акцент2 15 6" xfId="246" xr:uid="{00000000-0005-0000-0000-0000F5000000}"/>
    <cellStyle name="20% - Акцент2 2" xfId="247" xr:uid="{00000000-0005-0000-0000-0000F6000000}"/>
    <cellStyle name="20% - Акцент2 2 10" xfId="248" xr:uid="{00000000-0005-0000-0000-0000F7000000}"/>
    <cellStyle name="20% - Акцент2 2 10 2" xfId="249" xr:uid="{00000000-0005-0000-0000-0000F8000000}"/>
    <cellStyle name="20% - Акцент2 2 10 3" xfId="250" xr:uid="{00000000-0005-0000-0000-0000F9000000}"/>
    <cellStyle name="20% - Акцент2 2 10 4" xfId="251" xr:uid="{00000000-0005-0000-0000-0000FA000000}"/>
    <cellStyle name="20% - Акцент2 2 10 5" xfId="252" xr:uid="{00000000-0005-0000-0000-0000FB000000}"/>
    <cellStyle name="20% - Акцент2 2 10 6" xfId="253" xr:uid="{00000000-0005-0000-0000-0000FC000000}"/>
    <cellStyle name="20% - Акцент2 2 11" xfId="254" xr:uid="{00000000-0005-0000-0000-0000FD000000}"/>
    <cellStyle name="20% - Акцент2 2 11 2" xfId="255" xr:uid="{00000000-0005-0000-0000-0000FE000000}"/>
    <cellStyle name="20% - Акцент2 2 11 3" xfId="256" xr:uid="{00000000-0005-0000-0000-0000FF000000}"/>
    <cellStyle name="20% - Акцент2 2 11 4" xfId="257" xr:uid="{00000000-0005-0000-0000-000000010000}"/>
    <cellStyle name="20% - Акцент2 2 11 5" xfId="258" xr:uid="{00000000-0005-0000-0000-000001010000}"/>
    <cellStyle name="20% - Акцент2 2 11 6" xfId="259" xr:uid="{00000000-0005-0000-0000-000002010000}"/>
    <cellStyle name="20% - Акцент2 2 12" xfId="260" xr:uid="{00000000-0005-0000-0000-000003010000}"/>
    <cellStyle name="20% - Акцент2 2 12 2" xfId="261" xr:uid="{00000000-0005-0000-0000-000004010000}"/>
    <cellStyle name="20% - Акцент2 2 12 3" xfId="262" xr:uid="{00000000-0005-0000-0000-000005010000}"/>
    <cellStyle name="20% - Акцент2 2 12 4" xfId="263" xr:uid="{00000000-0005-0000-0000-000006010000}"/>
    <cellStyle name="20% - Акцент2 2 12 5" xfId="264" xr:uid="{00000000-0005-0000-0000-000007010000}"/>
    <cellStyle name="20% - Акцент2 2 12 6" xfId="265" xr:uid="{00000000-0005-0000-0000-000008010000}"/>
    <cellStyle name="20% - Акцент2 2 13" xfId="266" xr:uid="{00000000-0005-0000-0000-000009010000}"/>
    <cellStyle name="20% - Акцент2 2 14" xfId="267" xr:uid="{00000000-0005-0000-0000-00000A010000}"/>
    <cellStyle name="20% - Акцент2 2 15" xfId="268" xr:uid="{00000000-0005-0000-0000-00000B010000}"/>
    <cellStyle name="20% - Акцент2 2 16" xfId="269" xr:uid="{00000000-0005-0000-0000-00000C010000}"/>
    <cellStyle name="20% - Акцент2 2 17" xfId="270" xr:uid="{00000000-0005-0000-0000-00000D010000}"/>
    <cellStyle name="20% - Акцент2 2 2" xfId="271" xr:uid="{00000000-0005-0000-0000-00000E010000}"/>
    <cellStyle name="20% - Акцент2 2 2 2" xfId="272" xr:uid="{00000000-0005-0000-0000-00000F010000}"/>
    <cellStyle name="20% - Акцент2 2 2 3" xfId="273" xr:uid="{00000000-0005-0000-0000-000010010000}"/>
    <cellStyle name="20% - Акцент2 2 2 3 2" xfId="274" xr:uid="{00000000-0005-0000-0000-000011010000}"/>
    <cellStyle name="20% - Акцент2 2 2 4" xfId="275" xr:uid="{00000000-0005-0000-0000-000012010000}"/>
    <cellStyle name="20% - Акцент2 2 2 5" xfId="276" xr:uid="{00000000-0005-0000-0000-000013010000}"/>
    <cellStyle name="20% - Акцент2 2 2 6" xfId="277" xr:uid="{00000000-0005-0000-0000-000014010000}"/>
    <cellStyle name="20% - Акцент2 2 3" xfId="278" xr:uid="{00000000-0005-0000-0000-000015010000}"/>
    <cellStyle name="20% - Акцент2 2 3 2" xfId="279" xr:uid="{00000000-0005-0000-0000-000016010000}"/>
    <cellStyle name="20% - Акцент2 2 3 2 2" xfId="280" xr:uid="{00000000-0005-0000-0000-000017010000}"/>
    <cellStyle name="20% - Акцент2 2 3 3" xfId="281" xr:uid="{00000000-0005-0000-0000-000018010000}"/>
    <cellStyle name="20% - Акцент2 2 3 4" xfId="282" xr:uid="{00000000-0005-0000-0000-000019010000}"/>
    <cellStyle name="20% - Акцент2 2 3 5" xfId="283" xr:uid="{00000000-0005-0000-0000-00001A010000}"/>
    <cellStyle name="20% - Акцент2 2 3 6" xfId="284" xr:uid="{00000000-0005-0000-0000-00001B010000}"/>
    <cellStyle name="20% - Акцент2 2 4" xfId="285" xr:uid="{00000000-0005-0000-0000-00001C010000}"/>
    <cellStyle name="20% - Акцент2 2 4 2" xfId="286" xr:uid="{00000000-0005-0000-0000-00001D010000}"/>
    <cellStyle name="20% - Акцент2 2 4 3" xfId="287" xr:uid="{00000000-0005-0000-0000-00001E010000}"/>
    <cellStyle name="20% - Акцент2 2 4 4" xfId="288" xr:uid="{00000000-0005-0000-0000-00001F010000}"/>
    <cellStyle name="20% - Акцент2 2 4 5" xfId="289" xr:uid="{00000000-0005-0000-0000-000020010000}"/>
    <cellStyle name="20% - Акцент2 2 4 6" xfId="290" xr:uid="{00000000-0005-0000-0000-000021010000}"/>
    <cellStyle name="20% - Акцент2 2 4 7" xfId="291" xr:uid="{00000000-0005-0000-0000-000022010000}"/>
    <cellStyle name="20% - Акцент2 2 5" xfId="292" xr:uid="{00000000-0005-0000-0000-000023010000}"/>
    <cellStyle name="20% - Акцент2 2 5 2" xfId="293" xr:uid="{00000000-0005-0000-0000-000024010000}"/>
    <cellStyle name="20% - Акцент2 2 5 3" xfId="294" xr:uid="{00000000-0005-0000-0000-000025010000}"/>
    <cellStyle name="20% - Акцент2 2 5 4" xfId="295" xr:uid="{00000000-0005-0000-0000-000026010000}"/>
    <cellStyle name="20% - Акцент2 2 5 5" xfId="296" xr:uid="{00000000-0005-0000-0000-000027010000}"/>
    <cellStyle name="20% - Акцент2 2 5 6" xfId="297" xr:uid="{00000000-0005-0000-0000-000028010000}"/>
    <cellStyle name="20% - Акцент2 2 5 7" xfId="298" xr:uid="{00000000-0005-0000-0000-000029010000}"/>
    <cellStyle name="20% - Акцент2 2 6" xfId="299" xr:uid="{00000000-0005-0000-0000-00002A010000}"/>
    <cellStyle name="20% - Акцент2 2 6 2" xfId="300" xr:uid="{00000000-0005-0000-0000-00002B010000}"/>
    <cellStyle name="20% - Акцент2 2 6 3" xfId="301" xr:uid="{00000000-0005-0000-0000-00002C010000}"/>
    <cellStyle name="20% - Акцент2 2 6 4" xfId="302" xr:uid="{00000000-0005-0000-0000-00002D010000}"/>
    <cellStyle name="20% - Акцент2 2 6 5" xfId="303" xr:uid="{00000000-0005-0000-0000-00002E010000}"/>
    <cellStyle name="20% - Акцент2 2 6 6" xfId="304" xr:uid="{00000000-0005-0000-0000-00002F010000}"/>
    <cellStyle name="20% - Акцент2 2 6 7" xfId="305" xr:uid="{00000000-0005-0000-0000-000030010000}"/>
    <cellStyle name="20% - Акцент2 2 7" xfId="306" xr:uid="{00000000-0005-0000-0000-000031010000}"/>
    <cellStyle name="20% - Акцент2 2 7 2" xfId="307" xr:uid="{00000000-0005-0000-0000-000032010000}"/>
    <cellStyle name="20% - Акцент2 2 7 3" xfId="308" xr:uid="{00000000-0005-0000-0000-000033010000}"/>
    <cellStyle name="20% - Акцент2 2 7 4" xfId="309" xr:uid="{00000000-0005-0000-0000-000034010000}"/>
    <cellStyle name="20% - Акцент2 2 7 5" xfId="310" xr:uid="{00000000-0005-0000-0000-000035010000}"/>
    <cellStyle name="20% - Акцент2 2 7 6" xfId="311" xr:uid="{00000000-0005-0000-0000-000036010000}"/>
    <cellStyle name="20% - Акцент2 2 8" xfId="312" xr:uid="{00000000-0005-0000-0000-000037010000}"/>
    <cellStyle name="20% - Акцент2 2 8 2" xfId="313" xr:uid="{00000000-0005-0000-0000-000038010000}"/>
    <cellStyle name="20% - Акцент2 2 8 3" xfId="314" xr:uid="{00000000-0005-0000-0000-000039010000}"/>
    <cellStyle name="20% - Акцент2 2 8 4" xfId="315" xr:uid="{00000000-0005-0000-0000-00003A010000}"/>
    <cellStyle name="20% - Акцент2 2 8 5" xfId="316" xr:uid="{00000000-0005-0000-0000-00003B010000}"/>
    <cellStyle name="20% - Акцент2 2 8 6" xfId="317" xr:uid="{00000000-0005-0000-0000-00003C010000}"/>
    <cellStyle name="20% - Акцент2 2 9" xfId="318" xr:uid="{00000000-0005-0000-0000-00003D010000}"/>
    <cellStyle name="20% - Акцент2 2 9 2" xfId="319" xr:uid="{00000000-0005-0000-0000-00003E010000}"/>
    <cellStyle name="20% - Акцент2 2 9 3" xfId="320" xr:uid="{00000000-0005-0000-0000-00003F010000}"/>
    <cellStyle name="20% - Акцент2 2 9 4" xfId="321" xr:uid="{00000000-0005-0000-0000-000040010000}"/>
    <cellStyle name="20% - Акцент2 2 9 5" xfId="322" xr:uid="{00000000-0005-0000-0000-000041010000}"/>
    <cellStyle name="20% - Акцент2 2 9 6" xfId="323" xr:uid="{00000000-0005-0000-0000-000042010000}"/>
    <cellStyle name="20% - Акцент2 2_2355 Голубева" xfId="324" xr:uid="{00000000-0005-0000-0000-000043010000}"/>
    <cellStyle name="20% - Акцент2 3" xfId="325" xr:uid="{00000000-0005-0000-0000-000044010000}"/>
    <cellStyle name="20% - Акцент2 3 2" xfId="326" xr:uid="{00000000-0005-0000-0000-000045010000}"/>
    <cellStyle name="20% - Акцент2 3 2 2" xfId="327" xr:uid="{00000000-0005-0000-0000-000046010000}"/>
    <cellStyle name="20% - Акцент2 3 3" xfId="328" xr:uid="{00000000-0005-0000-0000-000047010000}"/>
    <cellStyle name="20% - Акцент2 3 4" xfId="329" xr:uid="{00000000-0005-0000-0000-000048010000}"/>
    <cellStyle name="20% - Акцент2 3 5" xfId="330" xr:uid="{00000000-0005-0000-0000-000049010000}"/>
    <cellStyle name="20% - Акцент2 3 6" xfId="331" xr:uid="{00000000-0005-0000-0000-00004A010000}"/>
    <cellStyle name="20% - Акцент2 4" xfId="332" xr:uid="{00000000-0005-0000-0000-00004B010000}"/>
    <cellStyle name="20% - Акцент2 4 2" xfId="333" xr:uid="{00000000-0005-0000-0000-00004C010000}"/>
    <cellStyle name="20% - Акцент2 4 3" xfId="334" xr:uid="{00000000-0005-0000-0000-00004D010000}"/>
    <cellStyle name="20% - Акцент2 4 4" xfId="335" xr:uid="{00000000-0005-0000-0000-00004E010000}"/>
    <cellStyle name="20% - Акцент2 4 5" xfId="336" xr:uid="{00000000-0005-0000-0000-00004F010000}"/>
    <cellStyle name="20% - Акцент2 4 6" xfId="337" xr:uid="{00000000-0005-0000-0000-000050010000}"/>
    <cellStyle name="20% - Акцент2 4 7" xfId="338" xr:uid="{00000000-0005-0000-0000-000051010000}"/>
    <cellStyle name="20% - Акцент2 5" xfId="339" xr:uid="{00000000-0005-0000-0000-000052010000}"/>
    <cellStyle name="20% - Акцент2 5 2" xfId="340" xr:uid="{00000000-0005-0000-0000-000053010000}"/>
    <cellStyle name="20% - Акцент2 5 3" xfId="341" xr:uid="{00000000-0005-0000-0000-000054010000}"/>
    <cellStyle name="20% - Акцент2 5 4" xfId="342" xr:uid="{00000000-0005-0000-0000-000055010000}"/>
    <cellStyle name="20% - Акцент2 5 5" xfId="343" xr:uid="{00000000-0005-0000-0000-000056010000}"/>
    <cellStyle name="20% - Акцент2 5 6" xfId="344" xr:uid="{00000000-0005-0000-0000-000057010000}"/>
    <cellStyle name="20% - Акцент2 5 7" xfId="345" xr:uid="{00000000-0005-0000-0000-000058010000}"/>
    <cellStyle name="20% - Акцент2 6" xfId="346" xr:uid="{00000000-0005-0000-0000-000059010000}"/>
    <cellStyle name="20% - Акцент2 6 2" xfId="347" xr:uid="{00000000-0005-0000-0000-00005A010000}"/>
    <cellStyle name="20% - Акцент2 6 3" xfId="348" xr:uid="{00000000-0005-0000-0000-00005B010000}"/>
    <cellStyle name="20% - Акцент2 6 4" xfId="349" xr:uid="{00000000-0005-0000-0000-00005C010000}"/>
    <cellStyle name="20% - Акцент2 6 5" xfId="350" xr:uid="{00000000-0005-0000-0000-00005D010000}"/>
    <cellStyle name="20% - Акцент2 6 6" xfId="351" xr:uid="{00000000-0005-0000-0000-00005E010000}"/>
    <cellStyle name="20% - Акцент2 6 7" xfId="352" xr:uid="{00000000-0005-0000-0000-00005F010000}"/>
    <cellStyle name="20% - Акцент2 7" xfId="353" xr:uid="{00000000-0005-0000-0000-000060010000}"/>
    <cellStyle name="20% - Акцент2 7 2" xfId="354" xr:uid="{00000000-0005-0000-0000-000061010000}"/>
    <cellStyle name="20% - Акцент2 7 3" xfId="355" xr:uid="{00000000-0005-0000-0000-000062010000}"/>
    <cellStyle name="20% - Акцент2 7 4" xfId="356" xr:uid="{00000000-0005-0000-0000-000063010000}"/>
    <cellStyle name="20% - Акцент2 7 5" xfId="357" xr:uid="{00000000-0005-0000-0000-000064010000}"/>
    <cellStyle name="20% - Акцент2 7 6" xfId="358" xr:uid="{00000000-0005-0000-0000-000065010000}"/>
    <cellStyle name="20% - Акцент2 7 7" xfId="359" xr:uid="{00000000-0005-0000-0000-000066010000}"/>
    <cellStyle name="20% - Акцент2 8" xfId="360" xr:uid="{00000000-0005-0000-0000-000067010000}"/>
    <cellStyle name="20% - Акцент2 8 2" xfId="361" xr:uid="{00000000-0005-0000-0000-000068010000}"/>
    <cellStyle name="20% - Акцент2 8 3" xfId="362" xr:uid="{00000000-0005-0000-0000-000069010000}"/>
    <cellStyle name="20% - Акцент2 8 4" xfId="363" xr:uid="{00000000-0005-0000-0000-00006A010000}"/>
    <cellStyle name="20% - Акцент2 8 5" xfId="364" xr:uid="{00000000-0005-0000-0000-00006B010000}"/>
    <cellStyle name="20% - Акцент2 8 6" xfId="365" xr:uid="{00000000-0005-0000-0000-00006C010000}"/>
    <cellStyle name="20% - Акцент2 8 7" xfId="366" xr:uid="{00000000-0005-0000-0000-00006D010000}"/>
    <cellStyle name="20% - Акцент2 9" xfId="367" xr:uid="{00000000-0005-0000-0000-00006E010000}"/>
    <cellStyle name="20% - Акцент2 9 2" xfId="368" xr:uid="{00000000-0005-0000-0000-00006F010000}"/>
    <cellStyle name="20% - Акцент2 9 3" xfId="369" xr:uid="{00000000-0005-0000-0000-000070010000}"/>
    <cellStyle name="20% - Акцент2 9 4" xfId="370" xr:uid="{00000000-0005-0000-0000-000071010000}"/>
    <cellStyle name="20% - Акцент2 9 5" xfId="371" xr:uid="{00000000-0005-0000-0000-000072010000}"/>
    <cellStyle name="20% - Акцент2 9 6" xfId="372" xr:uid="{00000000-0005-0000-0000-000073010000}"/>
    <cellStyle name="20% - Акцент2 9 7" xfId="373" xr:uid="{00000000-0005-0000-0000-000074010000}"/>
    <cellStyle name="20% - Акцент3 10" xfId="374" xr:uid="{00000000-0005-0000-0000-000075010000}"/>
    <cellStyle name="20% - Акцент3 10 2" xfId="375" xr:uid="{00000000-0005-0000-0000-000076010000}"/>
    <cellStyle name="20% - Акцент3 10 3" xfId="376" xr:uid="{00000000-0005-0000-0000-000077010000}"/>
    <cellStyle name="20% - Акцент3 10 4" xfId="377" xr:uid="{00000000-0005-0000-0000-000078010000}"/>
    <cellStyle name="20% - Акцент3 10 5" xfId="378" xr:uid="{00000000-0005-0000-0000-000079010000}"/>
    <cellStyle name="20% - Акцент3 10 6" xfId="379" xr:uid="{00000000-0005-0000-0000-00007A010000}"/>
    <cellStyle name="20% - Акцент3 11" xfId="380" xr:uid="{00000000-0005-0000-0000-00007B010000}"/>
    <cellStyle name="20% - Акцент3 11 2" xfId="381" xr:uid="{00000000-0005-0000-0000-00007C010000}"/>
    <cellStyle name="20% - Акцент3 11 3" xfId="382" xr:uid="{00000000-0005-0000-0000-00007D010000}"/>
    <cellStyle name="20% - Акцент3 11 4" xfId="383" xr:uid="{00000000-0005-0000-0000-00007E010000}"/>
    <cellStyle name="20% - Акцент3 11 5" xfId="384" xr:uid="{00000000-0005-0000-0000-00007F010000}"/>
    <cellStyle name="20% - Акцент3 11 6" xfId="385" xr:uid="{00000000-0005-0000-0000-000080010000}"/>
    <cellStyle name="20% - Акцент3 12" xfId="386" xr:uid="{00000000-0005-0000-0000-000081010000}"/>
    <cellStyle name="20% - Акцент3 12 2" xfId="387" xr:uid="{00000000-0005-0000-0000-000082010000}"/>
    <cellStyle name="20% - Акцент3 12 3" xfId="388" xr:uid="{00000000-0005-0000-0000-000083010000}"/>
    <cellStyle name="20% - Акцент3 12 4" xfId="389" xr:uid="{00000000-0005-0000-0000-000084010000}"/>
    <cellStyle name="20% - Акцент3 12 5" xfId="390" xr:uid="{00000000-0005-0000-0000-000085010000}"/>
    <cellStyle name="20% - Акцент3 12 6" xfId="391" xr:uid="{00000000-0005-0000-0000-000086010000}"/>
    <cellStyle name="20% - Акцент3 13" xfId="392" xr:uid="{00000000-0005-0000-0000-000087010000}"/>
    <cellStyle name="20% - Акцент3 13 2" xfId="393" xr:uid="{00000000-0005-0000-0000-000088010000}"/>
    <cellStyle name="20% - Акцент3 13 3" xfId="394" xr:uid="{00000000-0005-0000-0000-000089010000}"/>
    <cellStyle name="20% - Акцент3 13 4" xfId="395" xr:uid="{00000000-0005-0000-0000-00008A010000}"/>
    <cellStyle name="20% - Акцент3 13 5" xfId="396" xr:uid="{00000000-0005-0000-0000-00008B010000}"/>
    <cellStyle name="20% - Акцент3 13 6" xfId="397" xr:uid="{00000000-0005-0000-0000-00008C010000}"/>
    <cellStyle name="20% - Акцент3 14" xfId="398" xr:uid="{00000000-0005-0000-0000-00008D010000}"/>
    <cellStyle name="20% - Акцент3 14 2" xfId="399" xr:uid="{00000000-0005-0000-0000-00008E010000}"/>
    <cellStyle name="20% - Акцент3 14 3" xfId="400" xr:uid="{00000000-0005-0000-0000-00008F010000}"/>
    <cellStyle name="20% - Акцент3 14 4" xfId="401" xr:uid="{00000000-0005-0000-0000-000090010000}"/>
    <cellStyle name="20% - Акцент3 14 5" xfId="402" xr:uid="{00000000-0005-0000-0000-000091010000}"/>
    <cellStyle name="20% - Акцент3 14 6" xfId="403" xr:uid="{00000000-0005-0000-0000-000092010000}"/>
    <cellStyle name="20% - Акцент3 15" xfId="404" xr:uid="{00000000-0005-0000-0000-000093010000}"/>
    <cellStyle name="20% - Акцент3 15 2" xfId="405" xr:uid="{00000000-0005-0000-0000-000094010000}"/>
    <cellStyle name="20% - Акцент3 15 3" xfId="406" xr:uid="{00000000-0005-0000-0000-000095010000}"/>
    <cellStyle name="20% - Акцент3 15 4" xfId="407" xr:uid="{00000000-0005-0000-0000-000096010000}"/>
    <cellStyle name="20% - Акцент3 15 5" xfId="408" xr:uid="{00000000-0005-0000-0000-000097010000}"/>
    <cellStyle name="20% - Акцент3 15 6" xfId="409" xr:uid="{00000000-0005-0000-0000-000098010000}"/>
    <cellStyle name="20% - Акцент3 2" xfId="410" xr:uid="{00000000-0005-0000-0000-000099010000}"/>
    <cellStyle name="20% - Акцент3 2 10" xfId="411" xr:uid="{00000000-0005-0000-0000-00009A010000}"/>
    <cellStyle name="20% - Акцент3 2 10 2" xfId="412" xr:uid="{00000000-0005-0000-0000-00009B010000}"/>
    <cellStyle name="20% - Акцент3 2 10 3" xfId="413" xr:uid="{00000000-0005-0000-0000-00009C010000}"/>
    <cellStyle name="20% - Акцент3 2 10 4" xfId="414" xr:uid="{00000000-0005-0000-0000-00009D010000}"/>
    <cellStyle name="20% - Акцент3 2 10 5" xfId="415" xr:uid="{00000000-0005-0000-0000-00009E010000}"/>
    <cellStyle name="20% - Акцент3 2 10 6" xfId="416" xr:uid="{00000000-0005-0000-0000-00009F010000}"/>
    <cellStyle name="20% - Акцент3 2 11" xfId="417" xr:uid="{00000000-0005-0000-0000-0000A0010000}"/>
    <cellStyle name="20% - Акцент3 2 11 2" xfId="418" xr:uid="{00000000-0005-0000-0000-0000A1010000}"/>
    <cellStyle name="20% - Акцент3 2 11 3" xfId="419" xr:uid="{00000000-0005-0000-0000-0000A2010000}"/>
    <cellStyle name="20% - Акцент3 2 11 4" xfId="420" xr:uid="{00000000-0005-0000-0000-0000A3010000}"/>
    <cellStyle name="20% - Акцент3 2 11 5" xfId="421" xr:uid="{00000000-0005-0000-0000-0000A4010000}"/>
    <cellStyle name="20% - Акцент3 2 11 6" xfId="422" xr:uid="{00000000-0005-0000-0000-0000A5010000}"/>
    <cellStyle name="20% - Акцент3 2 12" xfId="423" xr:uid="{00000000-0005-0000-0000-0000A6010000}"/>
    <cellStyle name="20% - Акцент3 2 12 2" xfId="424" xr:uid="{00000000-0005-0000-0000-0000A7010000}"/>
    <cellStyle name="20% - Акцент3 2 12 3" xfId="425" xr:uid="{00000000-0005-0000-0000-0000A8010000}"/>
    <cellStyle name="20% - Акцент3 2 12 4" xfId="426" xr:uid="{00000000-0005-0000-0000-0000A9010000}"/>
    <cellStyle name="20% - Акцент3 2 12 5" xfId="427" xr:uid="{00000000-0005-0000-0000-0000AA010000}"/>
    <cellStyle name="20% - Акцент3 2 12 6" xfId="428" xr:uid="{00000000-0005-0000-0000-0000AB010000}"/>
    <cellStyle name="20% - Акцент3 2 13" xfId="429" xr:uid="{00000000-0005-0000-0000-0000AC010000}"/>
    <cellStyle name="20% - Акцент3 2 14" xfId="430" xr:uid="{00000000-0005-0000-0000-0000AD010000}"/>
    <cellStyle name="20% - Акцент3 2 15" xfId="431" xr:uid="{00000000-0005-0000-0000-0000AE010000}"/>
    <cellStyle name="20% - Акцент3 2 16" xfId="432" xr:uid="{00000000-0005-0000-0000-0000AF010000}"/>
    <cellStyle name="20% - Акцент3 2 17" xfId="433" xr:uid="{00000000-0005-0000-0000-0000B0010000}"/>
    <cellStyle name="20% - Акцент3 2 2" xfId="434" xr:uid="{00000000-0005-0000-0000-0000B1010000}"/>
    <cellStyle name="20% - Акцент3 2 2 2" xfId="435" xr:uid="{00000000-0005-0000-0000-0000B2010000}"/>
    <cellStyle name="20% - Акцент3 2 2 3" xfId="436" xr:uid="{00000000-0005-0000-0000-0000B3010000}"/>
    <cellStyle name="20% - Акцент3 2 2 3 2" xfId="437" xr:uid="{00000000-0005-0000-0000-0000B4010000}"/>
    <cellStyle name="20% - Акцент3 2 2 4" xfId="438" xr:uid="{00000000-0005-0000-0000-0000B5010000}"/>
    <cellStyle name="20% - Акцент3 2 2 5" xfId="439" xr:uid="{00000000-0005-0000-0000-0000B6010000}"/>
    <cellStyle name="20% - Акцент3 2 2 6" xfId="440" xr:uid="{00000000-0005-0000-0000-0000B7010000}"/>
    <cellStyle name="20% - Акцент3 2 3" xfId="441" xr:uid="{00000000-0005-0000-0000-0000B8010000}"/>
    <cellStyle name="20% - Акцент3 2 3 2" xfId="442" xr:uid="{00000000-0005-0000-0000-0000B9010000}"/>
    <cellStyle name="20% - Акцент3 2 3 2 2" xfId="443" xr:uid="{00000000-0005-0000-0000-0000BA010000}"/>
    <cellStyle name="20% - Акцент3 2 3 3" xfId="444" xr:uid="{00000000-0005-0000-0000-0000BB010000}"/>
    <cellStyle name="20% - Акцент3 2 3 4" xfId="445" xr:uid="{00000000-0005-0000-0000-0000BC010000}"/>
    <cellStyle name="20% - Акцент3 2 3 5" xfId="446" xr:uid="{00000000-0005-0000-0000-0000BD010000}"/>
    <cellStyle name="20% - Акцент3 2 3 6" xfId="447" xr:uid="{00000000-0005-0000-0000-0000BE010000}"/>
    <cellStyle name="20% - Акцент3 2 4" xfId="448" xr:uid="{00000000-0005-0000-0000-0000BF010000}"/>
    <cellStyle name="20% - Акцент3 2 4 2" xfId="449" xr:uid="{00000000-0005-0000-0000-0000C0010000}"/>
    <cellStyle name="20% - Акцент3 2 4 3" xfId="450" xr:uid="{00000000-0005-0000-0000-0000C1010000}"/>
    <cellStyle name="20% - Акцент3 2 4 4" xfId="451" xr:uid="{00000000-0005-0000-0000-0000C2010000}"/>
    <cellStyle name="20% - Акцент3 2 4 5" xfId="452" xr:uid="{00000000-0005-0000-0000-0000C3010000}"/>
    <cellStyle name="20% - Акцент3 2 4 6" xfId="453" xr:uid="{00000000-0005-0000-0000-0000C4010000}"/>
    <cellStyle name="20% - Акцент3 2 4 7" xfId="454" xr:uid="{00000000-0005-0000-0000-0000C5010000}"/>
    <cellStyle name="20% - Акцент3 2 5" xfId="455" xr:uid="{00000000-0005-0000-0000-0000C6010000}"/>
    <cellStyle name="20% - Акцент3 2 5 2" xfId="456" xr:uid="{00000000-0005-0000-0000-0000C7010000}"/>
    <cellStyle name="20% - Акцент3 2 5 3" xfId="457" xr:uid="{00000000-0005-0000-0000-0000C8010000}"/>
    <cellStyle name="20% - Акцент3 2 5 4" xfId="458" xr:uid="{00000000-0005-0000-0000-0000C9010000}"/>
    <cellStyle name="20% - Акцент3 2 5 5" xfId="459" xr:uid="{00000000-0005-0000-0000-0000CA010000}"/>
    <cellStyle name="20% - Акцент3 2 5 6" xfId="460" xr:uid="{00000000-0005-0000-0000-0000CB010000}"/>
    <cellStyle name="20% - Акцент3 2 5 7" xfId="461" xr:uid="{00000000-0005-0000-0000-0000CC010000}"/>
    <cellStyle name="20% - Акцент3 2 6" xfId="462" xr:uid="{00000000-0005-0000-0000-0000CD010000}"/>
    <cellStyle name="20% - Акцент3 2 6 2" xfId="463" xr:uid="{00000000-0005-0000-0000-0000CE010000}"/>
    <cellStyle name="20% - Акцент3 2 6 3" xfId="464" xr:uid="{00000000-0005-0000-0000-0000CF010000}"/>
    <cellStyle name="20% - Акцент3 2 6 4" xfId="465" xr:uid="{00000000-0005-0000-0000-0000D0010000}"/>
    <cellStyle name="20% - Акцент3 2 6 5" xfId="466" xr:uid="{00000000-0005-0000-0000-0000D1010000}"/>
    <cellStyle name="20% - Акцент3 2 6 6" xfId="467" xr:uid="{00000000-0005-0000-0000-0000D2010000}"/>
    <cellStyle name="20% - Акцент3 2 6 7" xfId="468" xr:uid="{00000000-0005-0000-0000-0000D3010000}"/>
    <cellStyle name="20% - Акцент3 2 7" xfId="469" xr:uid="{00000000-0005-0000-0000-0000D4010000}"/>
    <cellStyle name="20% - Акцент3 2 7 2" xfId="470" xr:uid="{00000000-0005-0000-0000-0000D5010000}"/>
    <cellStyle name="20% - Акцент3 2 7 3" xfId="471" xr:uid="{00000000-0005-0000-0000-0000D6010000}"/>
    <cellStyle name="20% - Акцент3 2 7 4" xfId="472" xr:uid="{00000000-0005-0000-0000-0000D7010000}"/>
    <cellStyle name="20% - Акцент3 2 7 5" xfId="473" xr:uid="{00000000-0005-0000-0000-0000D8010000}"/>
    <cellStyle name="20% - Акцент3 2 7 6" xfId="474" xr:uid="{00000000-0005-0000-0000-0000D9010000}"/>
    <cellStyle name="20% - Акцент3 2 8" xfId="475" xr:uid="{00000000-0005-0000-0000-0000DA010000}"/>
    <cellStyle name="20% - Акцент3 2 8 2" xfId="476" xr:uid="{00000000-0005-0000-0000-0000DB010000}"/>
    <cellStyle name="20% - Акцент3 2 8 3" xfId="477" xr:uid="{00000000-0005-0000-0000-0000DC010000}"/>
    <cellStyle name="20% - Акцент3 2 8 4" xfId="478" xr:uid="{00000000-0005-0000-0000-0000DD010000}"/>
    <cellStyle name="20% - Акцент3 2 8 5" xfId="479" xr:uid="{00000000-0005-0000-0000-0000DE010000}"/>
    <cellStyle name="20% - Акцент3 2 8 6" xfId="480" xr:uid="{00000000-0005-0000-0000-0000DF010000}"/>
    <cellStyle name="20% - Акцент3 2 9" xfId="481" xr:uid="{00000000-0005-0000-0000-0000E0010000}"/>
    <cellStyle name="20% - Акцент3 2 9 2" xfId="482" xr:uid="{00000000-0005-0000-0000-0000E1010000}"/>
    <cellStyle name="20% - Акцент3 2 9 3" xfId="483" xr:uid="{00000000-0005-0000-0000-0000E2010000}"/>
    <cellStyle name="20% - Акцент3 2 9 4" xfId="484" xr:uid="{00000000-0005-0000-0000-0000E3010000}"/>
    <cellStyle name="20% - Акцент3 2 9 5" xfId="485" xr:uid="{00000000-0005-0000-0000-0000E4010000}"/>
    <cellStyle name="20% - Акцент3 2 9 6" xfId="486" xr:uid="{00000000-0005-0000-0000-0000E5010000}"/>
    <cellStyle name="20% - Акцент3 2_2355 Голубева" xfId="487" xr:uid="{00000000-0005-0000-0000-0000E6010000}"/>
    <cellStyle name="20% - Акцент3 3" xfId="488" xr:uid="{00000000-0005-0000-0000-0000E7010000}"/>
    <cellStyle name="20% - Акцент3 3 2" xfId="489" xr:uid="{00000000-0005-0000-0000-0000E8010000}"/>
    <cellStyle name="20% - Акцент3 3 2 2" xfId="490" xr:uid="{00000000-0005-0000-0000-0000E9010000}"/>
    <cellStyle name="20% - Акцент3 3 3" xfId="491" xr:uid="{00000000-0005-0000-0000-0000EA010000}"/>
    <cellStyle name="20% - Акцент3 3 4" xfId="492" xr:uid="{00000000-0005-0000-0000-0000EB010000}"/>
    <cellStyle name="20% - Акцент3 3 5" xfId="493" xr:uid="{00000000-0005-0000-0000-0000EC010000}"/>
    <cellStyle name="20% - Акцент3 3 6" xfId="494" xr:uid="{00000000-0005-0000-0000-0000ED010000}"/>
    <cellStyle name="20% - Акцент3 4" xfId="495" xr:uid="{00000000-0005-0000-0000-0000EE010000}"/>
    <cellStyle name="20% - Акцент3 4 2" xfId="496" xr:uid="{00000000-0005-0000-0000-0000EF010000}"/>
    <cellStyle name="20% - Акцент3 4 3" xfId="497" xr:uid="{00000000-0005-0000-0000-0000F0010000}"/>
    <cellStyle name="20% - Акцент3 4 4" xfId="498" xr:uid="{00000000-0005-0000-0000-0000F1010000}"/>
    <cellStyle name="20% - Акцент3 4 5" xfId="499" xr:uid="{00000000-0005-0000-0000-0000F2010000}"/>
    <cellStyle name="20% - Акцент3 4 6" xfId="500" xr:uid="{00000000-0005-0000-0000-0000F3010000}"/>
    <cellStyle name="20% - Акцент3 4 7" xfId="501" xr:uid="{00000000-0005-0000-0000-0000F4010000}"/>
    <cellStyle name="20% - Акцент3 5" xfId="502" xr:uid="{00000000-0005-0000-0000-0000F5010000}"/>
    <cellStyle name="20% - Акцент3 5 2" xfId="503" xr:uid="{00000000-0005-0000-0000-0000F6010000}"/>
    <cellStyle name="20% - Акцент3 5 3" xfId="504" xr:uid="{00000000-0005-0000-0000-0000F7010000}"/>
    <cellStyle name="20% - Акцент3 5 4" xfId="505" xr:uid="{00000000-0005-0000-0000-0000F8010000}"/>
    <cellStyle name="20% - Акцент3 5 5" xfId="506" xr:uid="{00000000-0005-0000-0000-0000F9010000}"/>
    <cellStyle name="20% - Акцент3 5 6" xfId="507" xr:uid="{00000000-0005-0000-0000-0000FA010000}"/>
    <cellStyle name="20% - Акцент3 5 7" xfId="508" xr:uid="{00000000-0005-0000-0000-0000FB010000}"/>
    <cellStyle name="20% - Акцент3 6" xfId="509" xr:uid="{00000000-0005-0000-0000-0000FC010000}"/>
    <cellStyle name="20% - Акцент3 6 2" xfId="510" xr:uid="{00000000-0005-0000-0000-0000FD010000}"/>
    <cellStyle name="20% - Акцент3 6 3" xfId="511" xr:uid="{00000000-0005-0000-0000-0000FE010000}"/>
    <cellStyle name="20% - Акцент3 6 4" xfId="512" xr:uid="{00000000-0005-0000-0000-0000FF010000}"/>
    <cellStyle name="20% - Акцент3 6 5" xfId="513" xr:uid="{00000000-0005-0000-0000-000000020000}"/>
    <cellStyle name="20% - Акцент3 6 6" xfId="514" xr:uid="{00000000-0005-0000-0000-000001020000}"/>
    <cellStyle name="20% - Акцент3 6 7" xfId="515" xr:uid="{00000000-0005-0000-0000-000002020000}"/>
    <cellStyle name="20% - Акцент3 7" xfId="516" xr:uid="{00000000-0005-0000-0000-000003020000}"/>
    <cellStyle name="20% - Акцент3 7 2" xfId="517" xr:uid="{00000000-0005-0000-0000-000004020000}"/>
    <cellStyle name="20% - Акцент3 7 3" xfId="518" xr:uid="{00000000-0005-0000-0000-000005020000}"/>
    <cellStyle name="20% - Акцент3 7 4" xfId="519" xr:uid="{00000000-0005-0000-0000-000006020000}"/>
    <cellStyle name="20% - Акцент3 7 5" xfId="520" xr:uid="{00000000-0005-0000-0000-000007020000}"/>
    <cellStyle name="20% - Акцент3 7 6" xfId="521" xr:uid="{00000000-0005-0000-0000-000008020000}"/>
    <cellStyle name="20% - Акцент3 7 7" xfId="522" xr:uid="{00000000-0005-0000-0000-000009020000}"/>
    <cellStyle name="20% - Акцент3 8" xfId="523" xr:uid="{00000000-0005-0000-0000-00000A020000}"/>
    <cellStyle name="20% - Акцент3 8 2" xfId="524" xr:uid="{00000000-0005-0000-0000-00000B020000}"/>
    <cellStyle name="20% - Акцент3 8 3" xfId="525" xr:uid="{00000000-0005-0000-0000-00000C020000}"/>
    <cellStyle name="20% - Акцент3 8 4" xfId="526" xr:uid="{00000000-0005-0000-0000-00000D020000}"/>
    <cellStyle name="20% - Акцент3 8 5" xfId="527" xr:uid="{00000000-0005-0000-0000-00000E020000}"/>
    <cellStyle name="20% - Акцент3 8 6" xfId="528" xr:uid="{00000000-0005-0000-0000-00000F020000}"/>
    <cellStyle name="20% - Акцент3 8 7" xfId="529" xr:uid="{00000000-0005-0000-0000-000010020000}"/>
    <cellStyle name="20% - Акцент3 9" xfId="530" xr:uid="{00000000-0005-0000-0000-000011020000}"/>
    <cellStyle name="20% - Акцент3 9 2" xfId="531" xr:uid="{00000000-0005-0000-0000-000012020000}"/>
    <cellStyle name="20% - Акцент3 9 3" xfId="532" xr:uid="{00000000-0005-0000-0000-000013020000}"/>
    <cellStyle name="20% - Акцент3 9 4" xfId="533" xr:uid="{00000000-0005-0000-0000-000014020000}"/>
    <cellStyle name="20% - Акцент3 9 5" xfId="534" xr:uid="{00000000-0005-0000-0000-000015020000}"/>
    <cellStyle name="20% - Акцент3 9 6" xfId="535" xr:uid="{00000000-0005-0000-0000-000016020000}"/>
    <cellStyle name="20% - Акцент3 9 7" xfId="536" xr:uid="{00000000-0005-0000-0000-000017020000}"/>
    <cellStyle name="20% - Акцент4 10" xfId="537" xr:uid="{00000000-0005-0000-0000-000018020000}"/>
    <cellStyle name="20% - Акцент4 10 2" xfId="538" xr:uid="{00000000-0005-0000-0000-000019020000}"/>
    <cellStyle name="20% - Акцент4 10 3" xfId="539" xr:uid="{00000000-0005-0000-0000-00001A020000}"/>
    <cellStyle name="20% - Акцент4 10 4" xfId="540" xr:uid="{00000000-0005-0000-0000-00001B020000}"/>
    <cellStyle name="20% - Акцент4 10 5" xfId="541" xr:uid="{00000000-0005-0000-0000-00001C020000}"/>
    <cellStyle name="20% - Акцент4 10 6" xfId="542" xr:uid="{00000000-0005-0000-0000-00001D020000}"/>
    <cellStyle name="20% - Акцент4 11" xfId="543" xr:uid="{00000000-0005-0000-0000-00001E020000}"/>
    <cellStyle name="20% - Акцент4 11 2" xfId="544" xr:uid="{00000000-0005-0000-0000-00001F020000}"/>
    <cellStyle name="20% - Акцент4 11 3" xfId="545" xr:uid="{00000000-0005-0000-0000-000020020000}"/>
    <cellStyle name="20% - Акцент4 11 4" xfId="546" xr:uid="{00000000-0005-0000-0000-000021020000}"/>
    <cellStyle name="20% - Акцент4 11 5" xfId="547" xr:uid="{00000000-0005-0000-0000-000022020000}"/>
    <cellStyle name="20% - Акцент4 11 6" xfId="548" xr:uid="{00000000-0005-0000-0000-000023020000}"/>
    <cellStyle name="20% - Акцент4 12" xfId="549" xr:uid="{00000000-0005-0000-0000-000024020000}"/>
    <cellStyle name="20% - Акцент4 12 2" xfId="550" xr:uid="{00000000-0005-0000-0000-000025020000}"/>
    <cellStyle name="20% - Акцент4 12 3" xfId="551" xr:uid="{00000000-0005-0000-0000-000026020000}"/>
    <cellStyle name="20% - Акцент4 12 4" xfId="552" xr:uid="{00000000-0005-0000-0000-000027020000}"/>
    <cellStyle name="20% - Акцент4 12 5" xfId="553" xr:uid="{00000000-0005-0000-0000-000028020000}"/>
    <cellStyle name="20% - Акцент4 12 6" xfId="554" xr:uid="{00000000-0005-0000-0000-000029020000}"/>
    <cellStyle name="20% - Акцент4 13" xfId="555" xr:uid="{00000000-0005-0000-0000-00002A020000}"/>
    <cellStyle name="20% - Акцент4 13 2" xfId="556" xr:uid="{00000000-0005-0000-0000-00002B020000}"/>
    <cellStyle name="20% - Акцент4 13 3" xfId="557" xr:uid="{00000000-0005-0000-0000-00002C020000}"/>
    <cellStyle name="20% - Акцент4 13 4" xfId="558" xr:uid="{00000000-0005-0000-0000-00002D020000}"/>
    <cellStyle name="20% - Акцент4 13 5" xfId="559" xr:uid="{00000000-0005-0000-0000-00002E020000}"/>
    <cellStyle name="20% - Акцент4 13 6" xfId="560" xr:uid="{00000000-0005-0000-0000-00002F020000}"/>
    <cellStyle name="20% - Акцент4 14" xfId="561" xr:uid="{00000000-0005-0000-0000-000030020000}"/>
    <cellStyle name="20% - Акцент4 14 2" xfId="562" xr:uid="{00000000-0005-0000-0000-000031020000}"/>
    <cellStyle name="20% - Акцент4 14 3" xfId="563" xr:uid="{00000000-0005-0000-0000-000032020000}"/>
    <cellStyle name="20% - Акцент4 14 4" xfId="564" xr:uid="{00000000-0005-0000-0000-000033020000}"/>
    <cellStyle name="20% - Акцент4 14 5" xfId="565" xr:uid="{00000000-0005-0000-0000-000034020000}"/>
    <cellStyle name="20% - Акцент4 14 6" xfId="566" xr:uid="{00000000-0005-0000-0000-000035020000}"/>
    <cellStyle name="20% - Акцент4 15" xfId="567" xr:uid="{00000000-0005-0000-0000-000036020000}"/>
    <cellStyle name="20% - Акцент4 15 2" xfId="568" xr:uid="{00000000-0005-0000-0000-000037020000}"/>
    <cellStyle name="20% - Акцент4 15 3" xfId="569" xr:uid="{00000000-0005-0000-0000-000038020000}"/>
    <cellStyle name="20% - Акцент4 15 4" xfId="570" xr:uid="{00000000-0005-0000-0000-000039020000}"/>
    <cellStyle name="20% - Акцент4 15 5" xfId="571" xr:uid="{00000000-0005-0000-0000-00003A020000}"/>
    <cellStyle name="20% - Акцент4 15 6" xfId="572" xr:uid="{00000000-0005-0000-0000-00003B020000}"/>
    <cellStyle name="20% - Акцент4 2" xfId="573" xr:uid="{00000000-0005-0000-0000-00003C020000}"/>
    <cellStyle name="20% - Акцент4 2 10" xfId="574" xr:uid="{00000000-0005-0000-0000-00003D020000}"/>
    <cellStyle name="20% - Акцент4 2 10 2" xfId="575" xr:uid="{00000000-0005-0000-0000-00003E020000}"/>
    <cellStyle name="20% - Акцент4 2 10 3" xfId="576" xr:uid="{00000000-0005-0000-0000-00003F020000}"/>
    <cellStyle name="20% - Акцент4 2 10 4" xfId="577" xr:uid="{00000000-0005-0000-0000-000040020000}"/>
    <cellStyle name="20% - Акцент4 2 10 5" xfId="578" xr:uid="{00000000-0005-0000-0000-000041020000}"/>
    <cellStyle name="20% - Акцент4 2 10 6" xfId="579" xr:uid="{00000000-0005-0000-0000-000042020000}"/>
    <cellStyle name="20% - Акцент4 2 11" xfId="580" xr:uid="{00000000-0005-0000-0000-000043020000}"/>
    <cellStyle name="20% - Акцент4 2 11 2" xfId="581" xr:uid="{00000000-0005-0000-0000-000044020000}"/>
    <cellStyle name="20% - Акцент4 2 11 3" xfId="582" xr:uid="{00000000-0005-0000-0000-000045020000}"/>
    <cellStyle name="20% - Акцент4 2 11 4" xfId="583" xr:uid="{00000000-0005-0000-0000-000046020000}"/>
    <cellStyle name="20% - Акцент4 2 11 5" xfId="584" xr:uid="{00000000-0005-0000-0000-000047020000}"/>
    <cellStyle name="20% - Акцент4 2 11 6" xfId="585" xr:uid="{00000000-0005-0000-0000-000048020000}"/>
    <cellStyle name="20% - Акцент4 2 12" xfId="586" xr:uid="{00000000-0005-0000-0000-000049020000}"/>
    <cellStyle name="20% - Акцент4 2 12 2" xfId="587" xr:uid="{00000000-0005-0000-0000-00004A020000}"/>
    <cellStyle name="20% - Акцент4 2 12 3" xfId="588" xr:uid="{00000000-0005-0000-0000-00004B020000}"/>
    <cellStyle name="20% - Акцент4 2 12 4" xfId="589" xr:uid="{00000000-0005-0000-0000-00004C020000}"/>
    <cellStyle name="20% - Акцент4 2 12 5" xfId="590" xr:uid="{00000000-0005-0000-0000-00004D020000}"/>
    <cellStyle name="20% - Акцент4 2 12 6" xfId="591" xr:uid="{00000000-0005-0000-0000-00004E020000}"/>
    <cellStyle name="20% - Акцент4 2 13" xfId="592" xr:uid="{00000000-0005-0000-0000-00004F020000}"/>
    <cellStyle name="20% - Акцент4 2 14" xfId="593" xr:uid="{00000000-0005-0000-0000-000050020000}"/>
    <cellStyle name="20% - Акцент4 2 15" xfId="594" xr:uid="{00000000-0005-0000-0000-000051020000}"/>
    <cellStyle name="20% - Акцент4 2 16" xfId="595" xr:uid="{00000000-0005-0000-0000-000052020000}"/>
    <cellStyle name="20% - Акцент4 2 17" xfId="596" xr:uid="{00000000-0005-0000-0000-000053020000}"/>
    <cellStyle name="20% - Акцент4 2 2" xfId="597" xr:uid="{00000000-0005-0000-0000-000054020000}"/>
    <cellStyle name="20% - Акцент4 2 2 2" xfId="598" xr:uid="{00000000-0005-0000-0000-000055020000}"/>
    <cellStyle name="20% - Акцент4 2 2 3" xfId="599" xr:uid="{00000000-0005-0000-0000-000056020000}"/>
    <cellStyle name="20% - Акцент4 2 2 3 2" xfId="600" xr:uid="{00000000-0005-0000-0000-000057020000}"/>
    <cellStyle name="20% - Акцент4 2 2 4" xfId="601" xr:uid="{00000000-0005-0000-0000-000058020000}"/>
    <cellStyle name="20% - Акцент4 2 2 5" xfId="602" xr:uid="{00000000-0005-0000-0000-000059020000}"/>
    <cellStyle name="20% - Акцент4 2 2 6" xfId="603" xr:uid="{00000000-0005-0000-0000-00005A020000}"/>
    <cellStyle name="20% - Акцент4 2 3" xfId="604" xr:uid="{00000000-0005-0000-0000-00005B020000}"/>
    <cellStyle name="20% - Акцент4 2 3 2" xfId="605" xr:uid="{00000000-0005-0000-0000-00005C020000}"/>
    <cellStyle name="20% - Акцент4 2 3 2 2" xfId="606" xr:uid="{00000000-0005-0000-0000-00005D020000}"/>
    <cellStyle name="20% - Акцент4 2 3 3" xfId="607" xr:uid="{00000000-0005-0000-0000-00005E020000}"/>
    <cellStyle name="20% - Акцент4 2 3 4" xfId="608" xr:uid="{00000000-0005-0000-0000-00005F020000}"/>
    <cellStyle name="20% - Акцент4 2 3 5" xfId="609" xr:uid="{00000000-0005-0000-0000-000060020000}"/>
    <cellStyle name="20% - Акцент4 2 3 6" xfId="610" xr:uid="{00000000-0005-0000-0000-000061020000}"/>
    <cellStyle name="20% - Акцент4 2 4" xfId="611" xr:uid="{00000000-0005-0000-0000-000062020000}"/>
    <cellStyle name="20% - Акцент4 2 4 2" xfId="612" xr:uid="{00000000-0005-0000-0000-000063020000}"/>
    <cellStyle name="20% - Акцент4 2 4 3" xfId="613" xr:uid="{00000000-0005-0000-0000-000064020000}"/>
    <cellStyle name="20% - Акцент4 2 4 4" xfId="614" xr:uid="{00000000-0005-0000-0000-000065020000}"/>
    <cellStyle name="20% - Акцент4 2 4 5" xfId="615" xr:uid="{00000000-0005-0000-0000-000066020000}"/>
    <cellStyle name="20% - Акцент4 2 4 6" xfId="616" xr:uid="{00000000-0005-0000-0000-000067020000}"/>
    <cellStyle name="20% - Акцент4 2 4 7" xfId="617" xr:uid="{00000000-0005-0000-0000-000068020000}"/>
    <cellStyle name="20% - Акцент4 2 5" xfId="618" xr:uid="{00000000-0005-0000-0000-000069020000}"/>
    <cellStyle name="20% - Акцент4 2 5 2" xfId="619" xr:uid="{00000000-0005-0000-0000-00006A020000}"/>
    <cellStyle name="20% - Акцент4 2 5 3" xfId="620" xr:uid="{00000000-0005-0000-0000-00006B020000}"/>
    <cellStyle name="20% - Акцент4 2 5 4" xfId="621" xr:uid="{00000000-0005-0000-0000-00006C020000}"/>
    <cellStyle name="20% - Акцент4 2 5 5" xfId="622" xr:uid="{00000000-0005-0000-0000-00006D020000}"/>
    <cellStyle name="20% - Акцент4 2 5 6" xfId="623" xr:uid="{00000000-0005-0000-0000-00006E020000}"/>
    <cellStyle name="20% - Акцент4 2 5 7" xfId="624" xr:uid="{00000000-0005-0000-0000-00006F020000}"/>
    <cellStyle name="20% - Акцент4 2 6" xfId="625" xr:uid="{00000000-0005-0000-0000-000070020000}"/>
    <cellStyle name="20% - Акцент4 2 6 2" xfId="626" xr:uid="{00000000-0005-0000-0000-000071020000}"/>
    <cellStyle name="20% - Акцент4 2 6 3" xfId="627" xr:uid="{00000000-0005-0000-0000-000072020000}"/>
    <cellStyle name="20% - Акцент4 2 6 4" xfId="628" xr:uid="{00000000-0005-0000-0000-000073020000}"/>
    <cellStyle name="20% - Акцент4 2 6 5" xfId="629" xr:uid="{00000000-0005-0000-0000-000074020000}"/>
    <cellStyle name="20% - Акцент4 2 6 6" xfId="630" xr:uid="{00000000-0005-0000-0000-000075020000}"/>
    <cellStyle name="20% - Акцент4 2 6 7" xfId="631" xr:uid="{00000000-0005-0000-0000-000076020000}"/>
    <cellStyle name="20% - Акцент4 2 7" xfId="632" xr:uid="{00000000-0005-0000-0000-000077020000}"/>
    <cellStyle name="20% - Акцент4 2 7 2" xfId="633" xr:uid="{00000000-0005-0000-0000-000078020000}"/>
    <cellStyle name="20% - Акцент4 2 7 3" xfId="634" xr:uid="{00000000-0005-0000-0000-000079020000}"/>
    <cellStyle name="20% - Акцент4 2 7 4" xfId="635" xr:uid="{00000000-0005-0000-0000-00007A020000}"/>
    <cellStyle name="20% - Акцент4 2 7 5" xfId="636" xr:uid="{00000000-0005-0000-0000-00007B020000}"/>
    <cellStyle name="20% - Акцент4 2 7 6" xfId="637" xr:uid="{00000000-0005-0000-0000-00007C020000}"/>
    <cellStyle name="20% - Акцент4 2 8" xfId="638" xr:uid="{00000000-0005-0000-0000-00007D020000}"/>
    <cellStyle name="20% - Акцент4 2 8 2" xfId="639" xr:uid="{00000000-0005-0000-0000-00007E020000}"/>
    <cellStyle name="20% - Акцент4 2 8 3" xfId="640" xr:uid="{00000000-0005-0000-0000-00007F020000}"/>
    <cellStyle name="20% - Акцент4 2 8 4" xfId="641" xr:uid="{00000000-0005-0000-0000-000080020000}"/>
    <cellStyle name="20% - Акцент4 2 8 5" xfId="642" xr:uid="{00000000-0005-0000-0000-000081020000}"/>
    <cellStyle name="20% - Акцент4 2 8 6" xfId="643" xr:uid="{00000000-0005-0000-0000-000082020000}"/>
    <cellStyle name="20% - Акцент4 2 9" xfId="644" xr:uid="{00000000-0005-0000-0000-000083020000}"/>
    <cellStyle name="20% - Акцент4 2 9 2" xfId="645" xr:uid="{00000000-0005-0000-0000-000084020000}"/>
    <cellStyle name="20% - Акцент4 2 9 3" xfId="646" xr:uid="{00000000-0005-0000-0000-000085020000}"/>
    <cellStyle name="20% - Акцент4 2 9 4" xfId="647" xr:uid="{00000000-0005-0000-0000-000086020000}"/>
    <cellStyle name="20% - Акцент4 2 9 5" xfId="648" xr:uid="{00000000-0005-0000-0000-000087020000}"/>
    <cellStyle name="20% - Акцент4 2 9 6" xfId="649" xr:uid="{00000000-0005-0000-0000-000088020000}"/>
    <cellStyle name="20% - Акцент4 2_2355 Голубева" xfId="650" xr:uid="{00000000-0005-0000-0000-000089020000}"/>
    <cellStyle name="20% - Акцент4 3" xfId="651" xr:uid="{00000000-0005-0000-0000-00008A020000}"/>
    <cellStyle name="20% - Акцент4 3 2" xfId="652" xr:uid="{00000000-0005-0000-0000-00008B020000}"/>
    <cellStyle name="20% - Акцент4 3 2 2" xfId="653" xr:uid="{00000000-0005-0000-0000-00008C020000}"/>
    <cellStyle name="20% - Акцент4 3 3" xfId="654" xr:uid="{00000000-0005-0000-0000-00008D020000}"/>
    <cellStyle name="20% - Акцент4 3 4" xfId="655" xr:uid="{00000000-0005-0000-0000-00008E020000}"/>
    <cellStyle name="20% - Акцент4 3 5" xfId="656" xr:uid="{00000000-0005-0000-0000-00008F020000}"/>
    <cellStyle name="20% - Акцент4 3 6" xfId="657" xr:uid="{00000000-0005-0000-0000-000090020000}"/>
    <cellStyle name="20% - Акцент4 4" xfId="658" xr:uid="{00000000-0005-0000-0000-000091020000}"/>
    <cellStyle name="20% - Акцент4 4 2" xfId="659" xr:uid="{00000000-0005-0000-0000-000092020000}"/>
    <cellStyle name="20% - Акцент4 4 3" xfId="660" xr:uid="{00000000-0005-0000-0000-000093020000}"/>
    <cellStyle name="20% - Акцент4 4 4" xfId="661" xr:uid="{00000000-0005-0000-0000-000094020000}"/>
    <cellStyle name="20% - Акцент4 4 5" xfId="662" xr:uid="{00000000-0005-0000-0000-000095020000}"/>
    <cellStyle name="20% - Акцент4 4 6" xfId="663" xr:uid="{00000000-0005-0000-0000-000096020000}"/>
    <cellStyle name="20% - Акцент4 4 7" xfId="664" xr:uid="{00000000-0005-0000-0000-000097020000}"/>
    <cellStyle name="20% - Акцент4 5" xfId="665" xr:uid="{00000000-0005-0000-0000-000098020000}"/>
    <cellStyle name="20% - Акцент4 5 2" xfId="666" xr:uid="{00000000-0005-0000-0000-000099020000}"/>
    <cellStyle name="20% - Акцент4 5 3" xfId="667" xr:uid="{00000000-0005-0000-0000-00009A020000}"/>
    <cellStyle name="20% - Акцент4 5 4" xfId="668" xr:uid="{00000000-0005-0000-0000-00009B020000}"/>
    <cellStyle name="20% - Акцент4 5 5" xfId="669" xr:uid="{00000000-0005-0000-0000-00009C020000}"/>
    <cellStyle name="20% - Акцент4 5 6" xfId="670" xr:uid="{00000000-0005-0000-0000-00009D020000}"/>
    <cellStyle name="20% - Акцент4 5 7" xfId="671" xr:uid="{00000000-0005-0000-0000-00009E020000}"/>
    <cellStyle name="20% - Акцент4 6" xfId="672" xr:uid="{00000000-0005-0000-0000-00009F020000}"/>
    <cellStyle name="20% - Акцент4 6 2" xfId="673" xr:uid="{00000000-0005-0000-0000-0000A0020000}"/>
    <cellStyle name="20% - Акцент4 6 3" xfId="674" xr:uid="{00000000-0005-0000-0000-0000A1020000}"/>
    <cellStyle name="20% - Акцент4 6 4" xfId="675" xr:uid="{00000000-0005-0000-0000-0000A2020000}"/>
    <cellStyle name="20% - Акцент4 6 5" xfId="676" xr:uid="{00000000-0005-0000-0000-0000A3020000}"/>
    <cellStyle name="20% - Акцент4 6 6" xfId="677" xr:uid="{00000000-0005-0000-0000-0000A4020000}"/>
    <cellStyle name="20% - Акцент4 6 7" xfId="678" xr:uid="{00000000-0005-0000-0000-0000A5020000}"/>
    <cellStyle name="20% - Акцент4 7" xfId="679" xr:uid="{00000000-0005-0000-0000-0000A6020000}"/>
    <cellStyle name="20% - Акцент4 7 2" xfId="680" xr:uid="{00000000-0005-0000-0000-0000A7020000}"/>
    <cellStyle name="20% - Акцент4 7 3" xfId="681" xr:uid="{00000000-0005-0000-0000-0000A8020000}"/>
    <cellStyle name="20% - Акцент4 7 4" xfId="682" xr:uid="{00000000-0005-0000-0000-0000A9020000}"/>
    <cellStyle name="20% - Акцент4 7 5" xfId="683" xr:uid="{00000000-0005-0000-0000-0000AA020000}"/>
    <cellStyle name="20% - Акцент4 7 6" xfId="684" xr:uid="{00000000-0005-0000-0000-0000AB020000}"/>
    <cellStyle name="20% - Акцент4 7 7" xfId="685" xr:uid="{00000000-0005-0000-0000-0000AC020000}"/>
    <cellStyle name="20% - Акцент4 8" xfId="686" xr:uid="{00000000-0005-0000-0000-0000AD020000}"/>
    <cellStyle name="20% - Акцент4 8 2" xfId="687" xr:uid="{00000000-0005-0000-0000-0000AE020000}"/>
    <cellStyle name="20% - Акцент4 8 3" xfId="688" xr:uid="{00000000-0005-0000-0000-0000AF020000}"/>
    <cellStyle name="20% - Акцент4 8 4" xfId="689" xr:uid="{00000000-0005-0000-0000-0000B0020000}"/>
    <cellStyle name="20% - Акцент4 8 5" xfId="690" xr:uid="{00000000-0005-0000-0000-0000B1020000}"/>
    <cellStyle name="20% - Акцент4 8 6" xfId="691" xr:uid="{00000000-0005-0000-0000-0000B2020000}"/>
    <cellStyle name="20% - Акцент4 8 7" xfId="692" xr:uid="{00000000-0005-0000-0000-0000B3020000}"/>
    <cellStyle name="20% - Акцент4 9" xfId="693" xr:uid="{00000000-0005-0000-0000-0000B4020000}"/>
    <cellStyle name="20% - Акцент4 9 2" xfId="694" xr:uid="{00000000-0005-0000-0000-0000B5020000}"/>
    <cellStyle name="20% - Акцент4 9 3" xfId="695" xr:uid="{00000000-0005-0000-0000-0000B6020000}"/>
    <cellStyle name="20% - Акцент4 9 4" xfId="696" xr:uid="{00000000-0005-0000-0000-0000B7020000}"/>
    <cellStyle name="20% - Акцент4 9 5" xfId="697" xr:uid="{00000000-0005-0000-0000-0000B8020000}"/>
    <cellStyle name="20% - Акцент4 9 6" xfId="698" xr:uid="{00000000-0005-0000-0000-0000B9020000}"/>
    <cellStyle name="20% - Акцент4 9 7" xfId="699" xr:uid="{00000000-0005-0000-0000-0000BA020000}"/>
    <cellStyle name="20% - Акцент5 10" xfId="700" xr:uid="{00000000-0005-0000-0000-0000BB020000}"/>
    <cellStyle name="20% - Акцент5 10 2" xfId="701" xr:uid="{00000000-0005-0000-0000-0000BC020000}"/>
    <cellStyle name="20% - Акцент5 10 3" xfId="702" xr:uid="{00000000-0005-0000-0000-0000BD020000}"/>
    <cellStyle name="20% - Акцент5 10 4" xfId="703" xr:uid="{00000000-0005-0000-0000-0000BE020000}"/>
    <cellStyle name="20% - Акцент5 10 5" xfId="704" xr:uid="{00000000-0005-0000-0000-0000BF020000}"/>
    <cellStyle name="20% - Акцент5 10 6" xfId="705" xr:uid="{00000000-0005-0000-0000-0000C0020000}"/>
    <cellStyle name="20% - Акцент5 11" xfId="706" xr:uid="{00000000-0005-0000-0000-0000C1020000}"/>
    <cellStyle name="20% - Акцент5 11 2" xfId="707" xr:uid="{00000000-0005-0000-0000-0000C2020000}"/>
    <cellStyle name="20% - Акцент5 11 3" xfId="708" xr:uid="{00000000-0005-0000-0000-0000C3020000}"/>
    <cellStyle name="20% - Акцент5 11 4" xfId="709" xr:uid="{00000000-0005-0000-0000-0000C4020000}"/>
    <cellStyle name="20% - Акцент5 11 5" xfId="710" xr:uid="{00000000-0005-0000-0000-0000C5020000}"/>
    <cellStyle name="20% - Акцент5 11 6" xfId="711" xr:uid="{00000000-0005-0000-0000-0000C6020000}"/>
    <cellStyle name="20% - Акцент5 12" xfId="712" xr:uid="{00000000-0005-0000-0000-0000C7020000}"/>
    <cellStyle name="20% - Акцент5 12 2" xfId="713" xr:uid="{00000000-0005-0000-0000-0000C8020000}"/>
    <cellStyle name="20% - Акцент5 12 3" xfId="714" xr:uid="{00000000-0005-0000-0000-0000C9020000}"/>
    <cellStyle name="20% - Акцент5 12 4" xfId="715" xr:uid="{00000000-0005-0000-0000-0000CA020000}"/>
    <cellStyle name="20% - Акцент5 12 5" xfId="716" xr:uid="{00000000-0005-0000-0000-0000CB020000}"/>
    <cellStyle name="20% - Акцент5 12 6" xfId="717" xr:uid="{00000000-0005-0000-0000-0000CC020000}"/>
    <cellStyle name="20% - Акцент5 13" xfId="718" xr:uid="{00000000-0005-0000-0000-0000CD020000}"/>
    <cellStyle name="20% - Акцент5 13 2" xfId="719" xr:uid="{00000000-0005-0000-0000-0000CE020000}"/>
    <cellStyle name="20% - Акцент5 13 3" xfId="720" xr:uid="{00000000-0005-0000-0000-0000CF020000}"/>
    <cellStyle name="20% - Акцент5 13 4" xfId="721" xr:uid="{00000000-0005-0000-0000-0000D0020000}"/>
    <cellStyle name="20% - Акцент5 13 5" xfId="722" xr:uid="{00000000-0005-0000-0000-0000D1020000}"/>
    <cellStyle name="20% - Акцент5 13 6" xfId="723" xr:uid="{00000000-0005-0000-0000-0000D2020000}"/>
    <cellStyle name="20% - Акцент5 14" xfId="724" xr:uid="{00000000-0005-0000-0000-0000D3020000}"/>
    <cellStyle name="20% - Акцент5 14 2" xfId="725" xr:uid="{00000000-0005-0000-0000-0000D4020000}"/>
    <cellStyle name="20% - Акцент5 14 3" xfId="726" xr:uid="{00000000-0005-0000-0000-0000D5020000}"/>
    <cellStyle name="20% - Акцент5 14 4" xfId="727" xr:uid="{00000000-0005-0000-0000-0000D6020000}"/>
    <cellStyle name="20% - Акцент5 14 5" xfId="728" xr:uid="{00000000-0005-0000-0000-0000D7020000}"/>
    <cellStyle name="20% - Акцент5 14 6" xfId="729" xr:uid="{00000000-0005-0000-0000-0000D8020000}"/>
    <cellStyle name="20% - Акцент5 15" xfId="730" xr:uid="{00000000-0005-0000-0000-0000D9020000}"/>
    <cellStyle name="20% - Акцент5 15 2" xfId="731" xr:uid="{00000000-0005-0000-0000-0000DA020000}"/>
    <cellStyle name="20% - Акцент5 15 3" xfId="732" xr:uid="{00000000-0005-0000-0000-0000DB020000}"/>
    <cellStyle name="20% - Акцент5 15 4" xfId="733" xr:uid="{00000000-0005-0000-0000-0000DC020000}"/>
    <cellStyle name="20% - Акцент5 15 5" xfId="734" xr:uid="{00000000-0005-0000-0000-0000DD020000}"/>
    <cellStyle name="20% - Акцент5 15 6" xfId="735" xr:uid="{00000000-0005-0000-0000-0000DE020000}"/>
    <cellStyle name="20% - Акцент5 2" xfId="736" xr:uid="{00000000-0005-0000-0000-0000DF020000}"/>
    <cellStyle name="20% - Акцент5 2 10" xfId="737" xr:uid="{00000000-0005-0000-0000-0000E0020000}"/>
    <cellStyle name="20% - Акцент5 2 10 2" xfId="738" xr:uid="{00000000-0005-0000-0000-0000E1020000}"/>
    <cellStyle name="20% - Акцент5 2 10 3" xfId="739" xr:uid="{00000000-0005-0000-0000-0000E2020000}"/>
    <cellStyle name="20% - Акцент5 2 10 4" xfId="740" xr:uid="{00000000-0005-0000-0000-0000E3020000}"/>
    <cellStyle name="20% - Акцент5 2 10 5" xfId="741" xr:uid="{00000000-0005-0000-0000-0000E4020000}"/>
    <cellStyle name="20% - Акцент5 2 10 6" xfId="742" xr:uid="{00000000-0005-0000-0000-0000E5020000}"/>
    <cellStyle name="20% - Акцент5 2 11" xfId="743" xr:uid="{00000000-0005-0000-0000-0000E6020000}"/>
    <cellStyle name="20% - Акцент5 2 11 2" xfId="744" xr:uid="{00000000-0005-0000-0000-0000E7020000}"/>
    <cellStyle name="20% - Акцент5 2 11 3" xfId="745" xr:uid="{00000000-0005-0000-0000-0000E8020000}"/>
    <cellStyle name="20% - Акцент5 2 11 4" xfId="746" xr:uid="{00000000-0005-0000-0000-0000E9020000}"/>
    <cellStyle name="20% - Акцент5 2 11 5" xfId="747" xr:uid="{00000000-0005-0000-0000-0000EA020000}"/>
    <cellStyle name="20% - Акцент5 2 11 6" xfId="748" xr:uid="{00000000-0005-0000-0000-0000EB020000}"/>
    <cellStyle name="20% - Акцент5 2 12" xfId="749" xr:uid="{00000000-0005-0000-0000-0000EC020000}"/>
    <cellStyle name="20% - Акцент5 2 12 2" xfId="750" xr:uid="{00000000-0005-0000-0000-0000ED020000}"/>
    <cellStyle name="20% - Акцент5 2 12 3" xfId="751" xr:uid="{00000000-0005-0000-0000-0000EE020000}"/>
    <cellStyle name="20% - Акцент5 2 12 4" xfId="752" xr:uid="{00000000-0005-0000-0000-0000EF020000}"/>
    <cellStyle name="20% - Акцент5 2 12 5" xfId="753" xr:uid="{00000000-0005-0000-0000-0000F0020000}"/>
    <cellStyle name="20% - Акцент5 2 12 6" xfId="754" xr:uid="{00000000-0005-0000-0000-0000F1020000}"/>
    <cellStyle name="20% - Акцент5 2 13" xfId="755" xr:uid="{00000000-0005-0000-0000-0000F2020000}"/>
    <cellStyle name="20% - Акцент5 2 14" xfId="756" xr:uid="{00000000-0005-0000-0000-0000F3020000}"/>
    <cellStyle name="20% - Акцент5 2 15" xfId="757" xr:uid="{00000000-0005-0000-0000-0000F4020000}"/>
    <cellStyle name="20% - Акцент5 2 16" xfId="758" xr:uid="{00000000-0005-0000-0000-0000F5020000}"/>
    <cellStyle name="20% - Акцент5 2 17" xfId="759" xr:uid="{00000000-0005-0000-0000-0000F6020000}"/>
    <cellStyle name="20% - Акцент5 2 2" xfId="760" xr:uid="{00000000-0005-0000-0000-0000F7020000}"/>
    <cellStyle name="20% - Акцент5 2 2 2" xfId="761" xr:uid="{00000000-0005-0000-0000-0000F8020000}"/>
    <cellStyle name="20% - Акцент5 2 2 3" xfId="762" xr:uid="{00000000-0005-0000-0000-0000F9020000}"/>
    <cellStyle name="20% - Акцент5 2 2 3 2" xfId="763" xr:uid="{00000000-0005-0000-0000-0000FA020000}"/>
    <cellStyle name="20% - Акцент5 2 2 4" xfId="764" xr:uid="{00000000-0005-0000-0000-0000FB020000}"/>
    <cellStyle name="20% - Акцент5 2 2 5" xfId="765" xr:uid="{00000000-0005-0000-0000-0000FC020000}"/>
    <cellStyle name="20% - Акцент5 2 2 6" xfId="766" xr:uid="{00000000-0005-0000-0000-0000FD020000}"/>
    <cellStyle name="20% - Акцент5 2 3" xfId="767" xr:uid="{00000000-0005-0000-0000-0000FE020000}"/>
    <cellStyle name="20% - Акцент5 2 3 2" xfId="768" xr:uid="{00000000-0005-0000-0000-0000FF020000}"/>
    <cellStyle name="20% - Акцент5 2 3 2 2" xfId="769" xr:uid="{00000000-0005-0000-0000-000000030000}"/>
    <cellStyle name="20% - Акцент5 2 3 3" xfId="770" xr:uid="{00000000-0005-0000-0000-000001030000}"/>
    <cellStyle name="20% - Акцент5 2 3 4" xfId="771" xr:uid="{00000000-0005-0000-0000-000002030000}"/>
    <cellStyle name="20% - Акцент5 2 3 5" xfId="772" xr:uid="{00000000-0005-0000-0000-000003030000}"/>
    <cellStyle name="20% - Акцент5 2 3 6" xfId="773" xr:uid="{00000000-0005-0000-0000-000004030000}"/>
    <cellStyle name="20% - Акцент5 2 4" xfId="774" xr:uid="{00000000-0005-0000-0000-000005030000}"/>
    <cellStyle name="20% - Акцент5 2 4 2" xfId="775" xr:uid="{00000000-0005-0000-0000-000006030000}"/>
    <cellStyle name="20% - Акцент5 2 4 3" xfId="776" xr:uid="{00000000-0005-0000-0000-000007030000}"/>
    <cellStyle name="20% - Акцент5 2 4 4" xfId="777" xr:uid="{00000000-0005-0000-0000-000008030000}"/>
    <cellStyle name="20% - Акцент5 2 4 5" xfId="778" xr:uid="{00000000-0005-0000-0000-000009030000}"/>
    <cellStyle name="20% - Акцент5 2 4 6" xfId="779" xr:uid="{00000000-0005-0000-0000-00000A030000}"/>
    <cellStyle name="20% - Акцент5 2 4 7" xfId="780" xr:uid="{00000000-0005-0000-0000-00000B030000}"/>
    <cellStyle name="20% - Акцент5 2 5" xfId="781" xr:uid="{00000000-0005-0000-0000-00000C030000}"/>
    <cellStyle name="20% - Акцент5 2 5 2" xfId="782" xr:uid="{00000000-0005-0000-0000-00000D030000}"/>
    <cellStyle name="20% - Акцент5 2 5 3" xfId="783" xr:uid="{00000000-0005-0000-0000-00000E030000}"/>
    <cellStyle name="20% - Акцент5 2 5 4" xfId="784" xr:uid="{00000000-0005-0000-0000-00000F030000}"/>
    <cellStyle name="20% - Акцент5 2 5 5" xfId="785" xr:uid="{00000000-0005-0000-0000-000010030000}"/>
    <cellStyle name="20% - Акцент5 2 5 6" xfId="786" xr:uid="{00000000-0005-0000-0000-000011030000}"/>
    <cellStyle name="20% - Акцент5 2 5 7" xfId="787" xr:uid="{00000000-0005-0000-0000-000012030000}"/>
    <cellStyle name="20% - Акцент5 2 6" xfId="788" xr:uid="{00000000-0005-0000-0000-000013030000}"/>
    <cellStyle name="20% - Акцент5 2 6 2" xfId="789" xr:uid="{00000000-0005-0000-0000-000014030000}"/>
    <cellStyle name="20% - Акцент5 2 6 3" xfId="790" xr:uid="{00000000-0005-0000-0000-000015030000}"/>
    <cellStyle name="20% - Акцент5 2 6 4" xfId="791" xr:uid="{00000000-0005-0000-0000-000016030000}"/>
    <cellStyle name="20% - Акцент5 2 6 5" xfId="792" xr:uid="{00000000-0005-0000-0000-000017030000}"/>
    <cellStyle name="20% - Акцент5 2 6 6" xfId="793" xr:uid="{00000000-0005-0000-0000-000018030000}"/>
    <cellStyle name="20% - Акцент5 2 6 7" xfId="794" xr:uid="{00000000-0005-0000-0000-000019030000}"/>
    <cellStyle name="20% - Акцент5 2 7" xfId="795" xr:uid="{00000000-0005-0000-0000-00001A030000}"/>
    <cellStyle name="20% - Акцент5 2 7 2" xfId="796" xr:uid="{00000000-0005-0000-0000-00001B030000}"/>
    <cellStyle name="20% - Акцент5 2 7 3" xfId="797" xr:uid="{00000000-0005-0000-0000-00001C030000}"/>
    <cellStyle name="20% - Акцент5 2 7 4" xfId="798" xr:uid="{00000000-0005-0000-0000-00001D030000}"/>
    <cellStyle name="20% - Акцент5 2 7 5" xfId="799" xr:uid="{00000000-0005-0000-0000-00001E030000}"/>
    <cellStyle name="20% - Акцент5 2 7 6" xfId="800" xr:uid="{00000000-0005-0000-0000-00001F030000}"/>
    <cellStyle name="20% - Акцент5 2 8" xfId="801" xr:uid="{00000000-0005-0000-0000-000020030000}"/>
    <cellStyle name="20% - Акцент5 2 8 2" xfId="802" xr:uid="{00000000-0005-0000-0000-000021030000}"/>
    <cellStyle name="20% - Акцент5 2 8 3" xfId="803" xr:uid="{00000000-0005-0000-0000-000022030000}"/>
    <cellStyle name="20% - Акцент5 2 8 4" xfId="804" xr:uid="{00000000-0005-0000-0000-000023030000}"/>
    <cellStyle name="20% - Акцент5 2 8 5" xfId="805" xr:uid="{00000000-0005-0000-0000-000024030000}"/>
    <cellStyle name="20% - Акцент5 2 8 6" xfId="806" xr:uid="{00000000-0005-0000-0000-000025030000}"/>
    <cellStyle name="20% - Акцент5 2 9" xfId="807" xr:uid="{00000000-0005-0000-0000-000026030000}"/>
    <cellStyle name="20% - Акцент5 2 9 2" xfId="808" xr:uid="{00000000-0005-0000-0000-000027030000}"/>
    <cellStyle name="20% - Акцент5 2 9 3" xfId="809" xr:uid="{00000000-0005-0000-0000-000028030000}"/>
    <cellStyle name="20% - Акцент5 2 9 4" xfId="810" xr:uid="{00000000-0005-0000-0000-000029030000}"/>
    <cellStyle name="20% - Акцент5 2 9 5" xfId="811" xr:uid="{00000000-0005-0000-0000-00002A030000}"/>
    <cellStyle name="20% - Акцент5 2 9 6" xfId="812" xr:uid="{00000000-0005-0000-0000-00002B030000}"/>
    <cellStyle name="20% - Акцент5 2_2355 Голубева" xfId="813" xr:uid="{00000000-0005-0000-0000-00002C030000}"/>
    <cellStyle name="20% - Акцент5 3" xfId="814" xr:uid="{00000000-0005-0000-0000-00002D030000}"/>
    <cellStyle name="20% - Акцент5 3 2" xfId="815" xr:uid="{00000000-0005-0000-0000-00002E030000}"/>
    <cellStyle name="20% - Акцент5 3 2 2" xfId="816" xr:uid="{00000000-0005-0000-0000-00002F030000}"/>
    <cellStyle name="20% - Акцент5 3 3" xfId="817" xr:uid="{00000000-0005-0000-0000-000030030000}"/>
    <cellStyle name="20% - Акцент5 3 4" xfId="818" xr:uid="{00000000-0005-0000-0000-000031030000}"/>
    <cellStyle name="20% - Акцент5 3 5" xfId="819" xr:uid="{00000000-0005-0000-0000-000032030000}"/>
    <cellStyle name="20% - Акцент5 3 6" xfId="820" xr:uid="{00000000-0005-0000-0000-000033030000}"/>
    <cellStyle name="20% - Акцент5 4" xfId="821" xr:uid="{00000000-0005-0000-0000-000034030000}"/>
    <cellStyle name="20% - Акцент5 4 2" xfId="822" xr:uid="{00000000-0005-0000-0000-000035030000}"/>
    <cellStyle name="20% - Акцент5 4 3" xfId="823" xr:uid="{00000000-0005-0000-0000-000036030000}"/>
    <cellStyle name="20% - Акцент5 4 4" xfId="824" xr:uid="{00000000-0005-0000-0000-000037030000}"/>
    <cellStyle name="20% - Акцент5 4 5" xfId="825" xr:uid="{00000000-0005-0000-0000-000038030000}"/>
    <cellStyle name="20% - Акцент5 4 6" xfId="826" xr:uid="{00000000-0005-0000-0000-000039030000}"/>
    <cellStyle name="20% - Акцент5 4 7" xfId="827" xr:uid="{00000000-0005-0000-0000-00003A030000}"/>
    <cellStyle name="20% - Акцент5 5" xfId="828" xr:uid="{00000000-0005-0000-0000-00003B030000}"/>
    <cellStyle name="20% - Акцент5 5 2" xfId="829" xr:uid="{00000000-0005-0000-0000-00003C030000}"/>
    <cellStyle name="20% - Акцент5 5 3" xfId="830" xr:uid="{00000000-0005-0000-0000-00003D030000}"/>
    <cellStyle name="20% - Акцент5 5 4" xfId="831" xr:uid="{00000000-0005-0000-0000-00003E030000}"/>
    <cellStyle name="20% - Акцент5 5 5" xfId="832" xr:uid="{00000000-0005-0000-0000-00003F030000}"/>
    <cellStyle name="20% - Акцент5 5 6" xfId="833" xr:uid="{00000000-0005-0000-0000-000040030000}"/>
    <cellStyle name="20% - Акцент5 5 7" xfId="834" xr:uid="{00000000-0005-0000-0000-000041030000}"/>
    <cellStyle name="20% - Акцент5 6" xfId="835" xr:uid="{00000000-0005-0000-0000-000042030000}"/>
    <cellStyle name="20% - Акцент5 6 2" xfId="836" xr:uid="{00000000-0005-0000-0000-000043030000}"/>
    <cellStyle name="20% - Акцент5 6 3" xfId="837" xr:uid="{00000000-0005-0000-0000-000044030000}"/>
    <cellStyle name="20% - Акцент5 6 4" xfId="838" xr:uid="{00000000-0005-0000-0000-000045030000}"/>
    <cellStyle name="20% - Акцент5 6 5" xfId="839" xr:uid="{00000000-0005-0000-0000-000046030000}"/>
    <cellStyle name="20% - Акцент5 6 6" xfId="840" xr:uid="{00000000-0005-0000-0000-000047030000}"/>
    <cellStyle name="20% - Акцент5 6 7" xfId="841" xr:uid="{00000000-0005-0000-0000-000048030000}"/>
    <cellStyle name="20% - Акцент5 7" xfId="842" xr:uid="{00000000-0005-0000-0000-000049030000}"/>
    <cellStyle name="20% - Акцент5 7 2" xfId="843" xr:uid="{00000000-0005-0000-0000-00004A030000}"/>
    <cellStyle name="20% - Акцент5 7 3" xfId="844" xr:uid="{00000000-0005-0000-0000-00004B030000}"/>
    <cellStyle name="20% - Акцент5 7 4" xfId="845" xr:uid="{00000000-0005-0000-0000-00004C030000}"/>
    <cellStyle name="20% - Акцент5 7 5" xfId="846" xr:uid="{00000000-0005-0000-0000-00004D030000}"/>
    <cellStyle name="20% - Акцент5 7 6" xfId="847" xr:uid="{00000000-0005-0000-0000-00004E030000}"/>
    <cellStyle name="20% - Акцент5 7 7" xfId="848" xr:uid="{00000000-0005-0000-0000-00004F030000}"/>
    <cellStyle name="20% - Акцент5 8" xfId="849" xr:uid="{00000000-0005-0000-0000-000050030000}"/>
    <cellStyle name="20% - Акцент5 8 2" xfId="850" xr:uid="{00000000-0005-0000-0000-000051030000}"/>
    <cellStyle name="20% - Акцент5 8 3" xfId="851" xr:uid="{00000000-0005-0000-0000-000052030000}"/>
    <cellStyle name="20% - Акцент5 8 4" xfId="852" xr:uid="{00000000-0005-0000-0000-000053030000}"/>
    <cellStyle name="20% - Акцент5 8 5" xfId="853" xr:uid="{00000000-0005-0000-0000-000054030000}"/>
    <cellStyle name="20% - Акцент5 8 6" xfId="854" xr:uid="{00000000-0005-0000-0000-000055030000}"/>
    <cellStyle name="20% - Акцент5 8 7" xfId="855" xr:uid="{00000000-0005-0000-0000-000056030000}"/>
    <cellStyle name="20% - Акцент5 9" xfId="856" xr:uid="{00000000-0005-0000-0000-000057030000}"/>
    <cellStyle name="20% - Акцент5 9 2" xfId="857" xr:uid="{00000000-0005-0000-0000-000058030000}"/>
    <cellStyle name="20% - Акцент5 9 3" xfId="858" xr:uid="{00000000-0005-0000-0000-000059030000}"/>
    <cellStyle name="20% - Акцент5 9 4" xfId="859" xr:uid="{00000000-0005-0000-0000-00005A030000}"/>
    <cellStyle name="20% - Акцент5 9 5" xfId="860" xr:uid="{00000000-0005-0000-0000-00005B030000}"/>
    <cellStyle name="20% - Акцент5 9 6" xfId="861" xr:uid="{00000000-0005-0000-0000-00005C030000}"/>
    <cellStyle name="20% - Акцент5 9 7" xfId="862" xr:uid="{00000000-0005-0000-0000-00005D030000}"/>
    <cellStyle name="20% - Акцент6 10" xfId="863" xr:uid="{00000000-0005-0000-0000-00005E030000}"/>
    <cellStyle name="20% - Акцент6 10 2" xfId="864" xr:uid="{00000000-0005-0000-0000-00005F030000}"/>
    <cellStyle name="20% - Акцент6 10 3" xfId="865" xr:uid="{00000000-0005-0000-0000-000060030000}"/>
    <cellStyle name="20% - Акцент6 10 4" xfId="866" xr:uid="{00000000-0005-0000-0000-000061030000}"/>
    <cellStyle name="20% - Акцент6 10 5" xfId="867" xr:uid="{00000000-0005-0000-0000-000062030000}"/>
    <cellStyle name="20% - Акцент6 10 6" xfId="868" xr:uid="{00000000-0005-0000-0000-000063030000}"/>
    <cellStyle name="20% - Акцент6 11" xfId="869" xr:uid="{00000000-0005-0000-0000-000064030000}"/>
    <cellStyle name="20% - Акцент6 11 2" xfId="870" xr:uid="{00000000-0005-0000-0000-000065030000}"/>
    <cellStyle name="20% - Акцент6 11 3" xfId="871" xr:uid="{00000000-0005-0000-0000-000066030000}"/>
    <cellStyle name="20% - Акцент6 11 4" xfId="872" xr:uid="{00000000-0005-0000-0000-000067030000}"/>
    <cellStyle name="20% - Акцент6 11 5" xfId="873" xr:uid="{00000000-0005-0000-0000-000068030000}"/>
    <cellStyle name="20% - Акцент6 11 6" xfId="874" xr:uid="{00000000-0005-0000-0000-000069030000}"/>
    <cellStyle name="20% - Акцент6 12" xfId="875" xr:uid="{00000000-0005-0000-0000-00006A030000}"/>
    <cellStyle name="20% - Акцент6 12 2" xfId="876" xr:uid="{00000000-0005-0000-0000-00006B030000}"/>
    <cellStyle name="20% - Акцент6 12 3" xfId="877" xr:uid="{00000000-0005-0000-0000-00006C030000}"/>
    <cellStyle name="20% - Акцент6 12 4" xfId="878" xr:uid="{00000000-0005-0000-0000-00006D030000}"/>
    <cellStyle name="20% - Акцент6 12 5" xfId="879" xr:uid="{00000000-0005-0000-0000-00006E030000}"/>
    <cellStyle name="20% - Акцент6 12 6" xfId="880" xr:uid="{00000000-0005-0000-0000-00006F030000}"/>
    <cellStyle name="20% - Акцент6 13" xfId="881" xr:uid="{00000000-0005-0000-0000-000070030000}"/>
    <cellStyle name="20% - Акцент6 13 2" xfId="882" xr:uid="{00000000-0005-0000-0000-000071030000}"/>
    <cellStyle name="20% - Акцент6 13 3" xfId="883" xr:uid="{00000000-0005-0000-0000-000072030000}"/>
    <cellStyle name="20% - Акцент6 13 4" xfId="884" xr:uid="{00000000-0005-0000-0000-000073030000}"/>
    <cellStyle name="20% - Акцент6 13 5" xfId="885" xr:uid="{00000000-0005-0000-0000-000074030000}"/>
    <cellStyle name="20% - Акцент6 13 6" xfId="886" xr:uid="{00000000-0005-0000-0000-000075030000}"/>
    <cellStyle name="20% - Акцент6 14" xfId="887" xr:uid="{00000000-0005-0000-0000-000076030000}"/>
    <cellStyle name="20% - Акцент6 14 2" xfId="888" xr:uid="{00000000-0005-0000-0000-000077030000}"/>
    <cellStyle name="20% - Акцент6 14 3" xfId="889" xr:uid="{00000000-0005-0000-0000-000078030000}"/>
    <cellStyle name="20% - Акцент6 14 4" xfId="890" xr:uid="{00000000-0005-0000-0000-000079030000}"/>
    <cellStyle name="20% - Акцент6 14 5" xfId="891" xr:uid="{00000000-0005-0000-0000-00007A030000}"/>
    <cellStyle name="20% - Акцент6 14 6" xfId="892" xr:uid="{00000000-0005-0000-0000-00007B030000}"/>
    <cellStyle name="20% - Акцент6 15" xfId="893" xr:uid="{00000000-0005-0000-0000-00007C030000}"/>
    <cellStyle name="20% - Акцент6 15 2" xfId="894" xr:uid="{00000000-0005-0000-0000-00007D030000}"/>
    <cellStyle name="20% - Акцент6 15 3" xfId="895" xr:uid="{00000000-0005-0000-0000-00007E030000}"/>
    <cellStyle name="20% - Акцент6 15 4" xfId="896" xr:uid="{00000000-0005-0000-0000-00007F030000}"/>
    <cellStyle name="20% - Акцент6 15 5" xfId="897" xr:uid="{00000000-0005-0000-0000-000080030000}"/>
    <cellStyle name="20% - Акцент6 15 6" xfId="898" xr:uid="{00000000-0005-0000-0000-000081030000}"/>
    <cellStyle name="20% - Акцент6 2" xfId="899" xr:uid="{00000000-0005-0000-0000-000082030000}"/>
    <cellStyle name="20% - Акцент6 2 10" xfId="900" xr:uid="{00000000-0005-0000-0000-000083030000}"/>
    <cellStyle name="20% - Акцент6 2 10 2" xfId="901" xr:uid="{00000000-0005-0000-0000-000084030000}"/>
    <cellStyle name="20% - Акцент6 2 10 3" xfId="902" xr:uid="{00000000-0005-0000-0000-000085030000}"/>
    <cellStyle name="20% - Акцент6 2 10 4" xfId="903" xr:uid="{00000000-0005-0000-0000-000086030000}"/>
    <cellStyle name="20% - Акцент6 2 10 5" xfId="904" xr:uid="{00000000-0005-0000-0000-000087030000}"/>
    <cellStyle name="20% - Акцент6 2 10 6" xfId="905" xr:uid="{00000000-0005-0000-0000-000088030000}"/>
    <cellStyle name="20% - Акцент6 2 11" xfId="906" xr:uid="{00000000-0005-0000-0000-000089030000}"/>
    <cellStyle name="20% - Акцент6 2 11 2" xfId="907" xr:uid="{00000000-0005-0000-0000-00008A030000}"/>
    <cellStyle name="20% - Акцент6 2 11 3" xfId="908" xr:uid="{00000000-0005-0000-0000-00008B030000}"/>
    <cellStyle name="20% - Акцент6 2 11 4" xfId="909" xr:uid="{00000000-0005-0000-0000-00008C030000}"/>
    <cellStyle name="20% - Акцент6 2 11 5" xfId="910" xr:uid="{00000000-0005-0000-0000-00008D030000}"/>
    <cellStyle name="20% - Акцент6 2 11 6" xfId="911" xr:uid="{00000000-0005-0000-0000-00008E030000}"/>
    <cellStyle name="20% - Акцент6 2 12" xfId="912" xr:uid="{00000000-0005-0000-0000-00008F030000}"/>
    <cellStyle name="20% - Акцент6 2 12 2" xfId="913" xr:uid="{00000000-0005-0000-0000-000090030000}"/>
    <cellStyle name="20% - Акцент6 2 12 3" xfId="914" xr:uid="{00000000-0005-0000-0000-000091030000}"/>
    <cellStyle name="20% - Акцент6 2 12 4" xfId="915" xr:uid="{00000000-0005-0000-0000-000092030000}"/>
    <cellStyle name="20% - Акцент6 2 12 5" xfId="916" xr:uid="{00000000-0005-0000-0000-000093030000}"/>
    <cellStyle name="20% - Акцент6 2 12 6" xfId="917" xr:uid="{00000000-0005-0000-0000-000094030000}"/>
    <cellStyle name="20% - Акцент6 2 13" xfId="918" xr:uid="{00000000-0005-0000-0000-000095030000}"/>
    <cellStyle name="20% - Акцент6 2 14" xfId="919" xr:uid="{00000000-0005-0000-0000-000096030000}"/>
    <cellStyle name="20% - Акцент6 2 15" xfId="920" xr:uid="{00000000-0005-0000-0000-000097030000}"/>
    <cellStyle name="20% - Акцент6 2 16" xfId="921" xr:uid="{00000000-0005-0000-0000-000098030000}"/>
    <cellStyle name="20% - Акцент6 2 17" xfId="922" xr:uid="{00000000-0005-0000-0000-000099030000}"/>
    <cellStyle name="20% - Акцент6 2 2" xfId="923" xr:uid="{00000000-0005-0000-0000-00009A030000}"/>
    <cellStyle name="20% - Акцент6 2 2 2" xfId="924" xr:uid="{00000000-0005-0000-0000-00009B030000}"/>
    <cellStyle name="20% - Акцент6 2 2 3" xfId="925" xr:uid="{00000000-0005-0000-0000-00009C030000}"/>
    <cellStyle name="20% - Акцент6 2 2 3 2" xfId="926" xr:uid="{00000000-0005-0000-0000-00009D030000}"/>
    <cellStyle name="20% - Акцент6 2 2 4" xfId="927" xr:uid="{00000000-0005-0000-0000-00009E030000}"/>
    <cellStyle name="20% - Акцент6 2 2 5" xfId="928" xr:uid="{00000000-0005-0000-0000-00009F030000}"/>
    <cellStyle name="20% - Акцент6 2 2 6" xfId="929" xr:uid="{00000000-0005-0000-0000-0000A0030000}"/>
    <cellStyle name="20% - Акцент6 2 3" xfId="930" xr:uid="{00000000-0005-0000-0000-0000A1030000}"/>
    <cellStyle name="20% - Акцент6 2 3 2" xfId="931" xr:uid="{00000000-0005-0000-0000-0000A2030000}"/>
    <cellStyle name="20% - Акцент6 2 3 2 2" xfId="932" xr:uid="{00000000-0005-0000-0000-0000A3030000}"/>
    <cellStyle name="20% - Акцент6 2 3 3" xfId="933" xr:uid="{00000000-0005-0000-0000-0000A4030000}"/>
    <cellStyle name="20% - Акцент6 2 3 4" xfId="934" xr:uid="{00000000-0005-0000-0000-0000A5030000}"/>
    <cellStyle name="20% - Акцент6 2 3 5" xfId="935" xr:uid="{00000000-0005-0000-0000-0000A6030000}"/>
    <cellStyle name="20% - Акцент6 2 3 6" xfId="936" xr:uid="{00000000-0005-0000-0000-0000A7030000}"/>
    <cellStyle name="20% - Акцент6 2 4" xfId="937" xr:uid="{00000000-0005-0000-0000-0000A8030000}"/>
    <cellStyle name="20% - Акцент6 2 4 2" xfId="938" xr:uid="{00000000-0005-0000-0000-0000A9030000}"/>
    <cellStyle name="20% - Акцент6 2 4 3" xfId="939" xr:uid="{00000000-0005-0000-0000-0000AA030000}"/>
    <cellStyle name="20% - Акцент6 2 4 4" xfId="940" xr:uid="{00000000-0005-0000-0000-0000AB030000}"/>
    <cellStyle name="20% - Акцент6 2 4 5" xfId="941" xr:uid="{00000000-0005-0000-0000-0000AC030000}"/>
    <cellStyle name="20% - Акцент6 2 4 6" xfId="942" xr:uid="{00000000-0005-0000-0000-0000AD030000}"/>
    <cellStyle name="20% - Акцент6 2 4 7" xfId="943" xr:uid="{00000000-0005-0000-0000-0000AE030000}"/>
    <cellStyle name="20% - Акцент6 2 5" xfId="944" xr:uid="{00000000-0005-0000-0000-0000AF030000}"/>
    <cellStyle name="20% - Акцент6 2 5 2" xfId="945" xr:uid="{00000000-0005-0000-0000-0000B0030000}"/>
    <cellStyle name="20% - Акцент6 2 5 3" xfId="946" xr:uid="{00000000-0005-0000-0000-0000B1030000}"/>
    <cellStyle name="20% - Акцент6 2 5 4" xfId="947" xr:uid="{00000000-0005-0000-0000-0000B2030000}"/>
    <cellStyle name="20% - Акцент6 2 5 5" xfId="948" xr:uid="{00000000-0005-0000-0000-0000B3030000}"/>
    <cellStyle name="20% - Акцент6 2 5 6" xfId="949" xr:uid="{00000000-0005-0000-0000-0000B4030000}"/>
    <cellStyle name="20% - Акцент6 2 5 7" xfId="950" xr:uid="{00000000-0005-0000-0000-0000B5030000}"/>
    <cellStyle name="20% - Акцент6 2 6" xfId="951" xr:uid="{00000000-0005-0000-0000-0000B6030000}"/>
    <cellStyle name="20% - Акцент6 2 6 2" xfId="952" xr:uid="{00000000-0005-0000-0000-0000B7030000}"/>
    <cellStyle name="20% - Акцент6 2 6 3" xfId="953" xr:uid="{00000000-0005-0000-0000-0000B8030000}"/>
    <cellStyle name="20% - Акцент6 2 6 4" xfId="954" xr:uid="{00000000-0005-0000-0000-0000B9030000}"/>
    <cellStyle name="20% - Акцент6 2 6 5" xfId="955" xr:uid="{00000000-0005-0000-0000-0000BA030000}"/>
    <cellStyle name="20% - Акцент6 2 6 6" xfId="956" xr:uid="{00000000-0005-0000-0000-0000BB030000}"/>
    <cellStyle name="20% - Акцент6 2 6 7" xfId="957" xr:uid="{00000000-0005-0000-0000-0000BC030000}"/>
    <cellStyle name="20% - Акцент6 2 7" xfId="958" xr:uid="{00000000-0005-0000-0000-0000BD030000}"/>
    <cellStyle name="20% - Акцент6 2 7 2" xfId="959" xr:uid="{00000000-0005-0000-0000-0000BE030000}"/>
    <cellStyle name="20% - Акцент6 2 7 3" xfId="960" xr:uid="{00000000-0005-0000-0000-0000BF030000}"/>
    <cellStyle name="20% - Акцент6 2 7 4" xfId="961" xr:uid="{00000000-0005-0000-0000-0000C0030000}"/>
    <cellStyle name="20% - Акцент6 2 7 5" xfId="962" xr:uid="{00000000-0005-0000-0000-0000C1030000}"/>
    <cellStyle name="20% - Акцент6 2 7 6" xfId="963" xr:uid="{00000000-0005-0000-0000-0000C2030000}"/>
    <cellStyle name="20% - Акцент6 2 8" xfId="964" xr:uid="{00000000-0005-0000-0000-0000C3030000}"/>
    <cellStyle name="20% - Акцент6 2 8 2" xfId="965" xr:uid="{00000000-0005-0000-0000-0000C4030000}"/>
    <cellStyle name="20% - Акцент6 2 8 3" xfId="966" xr:uid="{00000000-0005-0000-0000-0000C5030000}"/>
    <cellStyle name="20% - Акцент6 2 8 4" xfId="967" xr:uid="{00000000-0005-0000-0000-0000C6030000}"/>
    <cellStyle name="20% - Акцент6 2 8 5" xfId="968" xr:uid="{00000000-0005-0000-0000-0000C7030000}"/>
    <cellStyle name="20% - Акцент6 2 8 6" xfId="969" xr:uid="{00000000-0005-0000-0000-0000C8030000}"/>
    <cellStyle name="20% - Акцент6 2 9" xfId="970" xr:uid="{00000000-0005-0000-0000-0000C9030000}"/>
    <cellStyle name="20% - Акцент6 2 9 2" xfId="971" xr:uid="{00000000-0005-0000-0000-0000CA030000}"/>
    <cellStyle name="20% - Акцент6 2 9 3" xfId="972" xr:uid="{00000000-0005-0000-0000-0000CB030000}"/>
    <cellStyle name="20% - Акцент6 2 9 4" xfId="973" xr:uid="{00000000-0005-0000-0000-0000CC030000}"/>
    <cellStyle name="20% - Акцент6 2 9 5" xfId="974" xr:uid="{00000000-0005-0000-0000-0000CD030000}"/>
    <cellStyle name="20% - Акцент6 2 9 6" xfId="975" xr:uid="{00000000-0005-0000-0000-0000CE030000}"/>
    <cellStyle name="20% - Акцент6 2_2355 Голубева" xfId="976" xr:uid="{00000000-0005-0000-0000-0000CF030000}"/>
    <cellStyle name="20% - Акцент6 3" xfId="977" xr:uid="{00000000-0005-0000-0000-0000D0030000}"/>
    <cellStyle name="20% - Акцент6 3 2" xfId="978" xr:uid="{00000000-0005-0000-0000-0000D1030000}"/>
    <cellStyle name="20% - Акцент6 3 2 2" xfId="979" xr:uid="{00000000-0005-0000-0000-0000D2030000}"/>
    <cellStyle name="20% - Акцент6 3 3" xfId="980" xr:uid="{00000000-0005-0000-0000-0000D3030000}"/>
    <cellStyle name="20% - Акцент6 3 4" xfId="981" xr:uid="{00000000-0005-0000-0000-0000D4030000}"/>
    <cellStyle name="20% - Акцент6 3 5" xfId="982" xr:uid="{00000000-0005-0000-0000-0000D5030000}"/>
    <cellStyle name="20% - Акцент6 3 6" xfId="983" xr:uid="{00000000-0005-0000-0000-0000D6030000}"/>
    <cellStyle name="20% - Акцент6 4" xfId="984" xr:uid="{00000000-0005-0000-0000-0000D7030000}"/>
    <cellStyle name="20% - Акцент6 4 2" xfId="985" xr:uid="{00000000-0005-0000-0000-0000D8030000}"/>
    <cellStyle name="20% - Акцент6 4 3" xfId="986" xr:uid="{00000000-0005-0000-0000-0000D9030000}"/>
    <cellStyle name="20% - Акцент6 4 4" xfId="987" xr:uid="{00000000-0005-0000-0000-0000DA030000}"/>
    <cellStyle name="20% - Акцент6 4 5" xfId="988" xr:uid="{00000000-0005-0000-0000-0000DB030000}"/>
    <cellStyle name="20% - Акцент6 4 6" xfId="989" xr:uid="{00000000-0005-0000-0000-0000DC030000}"/>
    <cellStyle name="20% - Акцент6 4 7" xfId="990" xr:uid="{00000000-0005-0000-0000-0000DD030000}"/>
    <cellStyle name="20% - Акцент6 5" xfId="991" xr:uid="{00000000-0005-0000-0000-0000DE030000}"/>
    <cellStyle name="20% - Акцент6 5 2" xfId="992" xr:uid="{00000000-0005-0000-0000-0000DF030000}"/>
    <cellStyle name="20% - Акцент6 5 3" xfId="993" xr:uid="{00000000-0005-0000-0000-0000E0030000}"/>
    <cellStyle name="20% - Акцент6 5 4" xfId="994" xr:uid="{00000000-0005-0000-0000-0000E1030000}"/>
    <cellStyle name="20% - Акцент6 5 5" xfId="995" xr:uid="{00000000-0005-0000-0000-0000E2030000}"/>
    <cellStyle name="20% - Акцент6 5 6" xfId="996" xr:uid="{00000000-0005-0000-0000-0000E3030000}"/>
    <cellStyle name="20% - Акцент6 5 7" xfId="997" xr:uid="{00000000-0005-0000-0000-0000E4030000}"/>
    <cellStyle name="20% - Акцент6 6" xfId="998" xr:uid="{00000000-0005-0000-0000-0000E5030000}"/>
    <cellStyle name="20% - Акцент6 6 2" xfId="999" xr:uid="{00000000-0005-0000-0000-0000E6030000}"/>
    <cellStyle name="20% - Акцент6 6 3" xfId="1000" xr:uid="{00000000-0005-0000-0000-0000E7030000}"/>
    <cellStyle name="20% - Акцент6 6 4" xfId="1001" xr:uid="{00000000-0005-0000-0000-0000E8030000}"/>
    <cellStyle name="20% - Акцент6 6 5" xfId="1002" xr:uid="{00000000-0005-0000-0000-0000E9030000}"/>
    <cellStyle name="20% - Акцент6 6 6" xfId="1003" xr:uid="{00000000-0005-0000-0000-0000EA030000}"/>
    <cellStyle name="20% - Акцент6 6 7" xfId="1004" xr:uid="{00000000-0005-0000-0000-0000EB030000}"/>
    <cellStyle name="20% - Акцент6 7" xfId="1005" xr:uid="{00000000-0005-0000-0000-0000EC030000}"/>
    <cellStyle name="20% - Акцент6 7 2" xfId="1006" xr:uid="{00000000-0005-0000-0000-0000ED030000}"/>
    <cellStyle name="20% - Акцент6 7 3" xfId="1007" xr:uid="{00000000-0005-0000-0000-0000EE030000}"/>
    <cellStyle name="20% - Акцент6 7 4" xfId="1008" xr:uid="{00000000-0005-0000-0000-0000EF030000}"/>
    <cellStyle name="20% - Акцент6 7 5" xfId="1009" xr:uid="{00000000-0005-0000-0000-0000F0030000}"/>
    <cellStyle name="20% - Акцент6 7 6" xfId="1010" xr:uid="{00000000-0005-0000-0000-0000F1030000}"/>
    <cellStyle name="20% - Акцент6 7 7" xfId="1011" xr:uid="{00000000-0005-0000-0000-0000F2030000}"/>
    <cellStyle name="20% - Акцент6 8" xfId="1012" xr:uid="{00000000-0005-0000-0000-0000F3030000}"/>
    <cellStyle name="20% - Акцент6 8 2" xfId="1013" xr:uid="{00000000-0005-0000-0000-0000F4030000}"/>
    <cellStyle name="20% - Акцент6 8 3" xfId="1014" xr:uid="{00000000-0005-0000-0000-0000F5030000}"/>
    <cellStyle name="20% - Акцент6 8 4" xfId="1015" xr:uid="{00000000-0005-0000-0000-0000F6030000}"/>
    <cellStyle name="20% - Акцент6 8 5" xfId="1016" xr:uid="{00000000-0005-0000-0000-0000F7030000}"/>
    <cellStyle name="20% - Акцент6 8 6" xfId="1017" xr:uid="{00000000-0005-0000-0000-0000F8030000}"/>
    <cellStyle name="20% - Акцент6 8 7" xfId="1018" xr:uid="{00000000-0005-0000-0000-0000F9030000}"/>
    <cellStyle name="20% - Акцент6 9" xfId="1019" xr:uid="{00000000-0005-0000-0000-0000FA030000}"/>
    <cellStyle name="20% - Акцент6 9 2" xfId="1020" xr:uid="{00000000-0005-0000-0000-0000FB030000}"/>
    <cellStyle name="20% - Акцент6 9 3" xfId="1021" xr:uid="{00000000-0005-0000-0000-0000FC030000}"/>
    <cellStyle name="20% - Акцент6 9 4" xfId="1022" xr:uid="{00000000-0005-0000-0000-0000FD030000}"/>
    <cellStyle name="20% - Акцент6 9 5" xfId="1023" xr:uid="{00000000-0005-0000-0000-0000FE030000}"/>
    <cellStyle name="20% - Акцент6 9 6" xfId="1024" xr:uid="{00000000-0005-0000-0000-0000FF030000}"/>
    <cellStyle name="20% - Акцент6 9 7" xfId="1025" xr:uid="{00000000-0005-0000-0000-000000040000}"/>
    <cellStyle name="40% - Акцент1 10" xfId="1026" xr:uid="{00000000-0005-0000-0000-000001040000}"/>
    <cellStyle name="40% - Акцент1 10 2" xfId="1027" xr:uid="{00000000-0005-0000-0000-000002040000}"/>
    <cellStyle name="40% - Акцент1 10 3" xfId="1028" xr:uid="{00000000-0005-0000-0000-000003040000}"/>
    <cellStyle name="40% - Акцент1 10 4" xfId="1029" xr:uid="{00000000-0005-0000-0000-000004040000}"/>
    <cellStyle name="40% - Акцент1 10 5" xfId="1030" xr:uid="{00000000-0005-0000-0000-000005040000}"/>
    <cellStyle name="40% - Акцент1 10 6" xfId="1031" xr:uid="{00000000-0005-0000-0000-000006040000}"/>
    <cellStyle name="40% - Акцент1 11" xfId="1032" xr:uid="{00000000-0005-0000-0000-000007040000}"/>
    <cellStyle name="40% - Акцент1 11 2" xfId="1033" xr:uid="{00000000-0005-0000-0000-000008040000}"/>
    <cellStyle name="40% - Акцент1 11 3" xfId="1034" xr:uid="{00000000-0005-0000-0000-000009040000}"/>
    <cellStyle name="40% - Акцент1 11 4" xfId="1035" xr:uid="{00000000-0005-0000-0000-00000A040000}"/>
    <cellStyle name="40% - Акцент1 11 5" xfId="1036" xr:uid="{00000000-0005-0000-0000-00000B040000}"/>
    <cellStyle name="40% - Акцент1 11 6" xfId="1037" xr:uid="{00000000-0005-0000-0000-00000C040000}"/>
    <cellStyle name="40% - Акцент1 12" xfId="1038" xr:uid="{00000000-0005-0000-0000-00000D040000}"/>
    <cellStyle name="40% - Акцент1 12 2" xfId="1039" xr:uid="{00000000-0005-0000-0000-00000E040000}"/>
    <cellStyle name="40% - Акцент1 12 3" xfId="1040" xr:uid="{00000000-0005-0000-0000-00000F040000}"/>
    <cellStyle name="40% - Акцент1 12 4" xfId="1041" xr:uid="{00000000-0005-0000-0000-000010040000}"/>
    <cellStyle name="40% - Акцент1 12 5" xfId="1042" xr:uid="{00000000-0005-0000-0000-000011040000}"/>
    <cellStyle name="40% - Акцент1 12 6" xfId="1043" xr:uid="{00000000-0005-0000-0000-000012040000}"/>
    <cellStyle name="40% - Акцент1 13" xfId="1044" xr:uid="{00000000-0005-0000-0000-000013040000}"/>
    <cellStyle name="40% - Акцент1 13 2" xfId="1045" xr:uid="{00000000-0005-0000-0000-000014040000}"/>
    <cellStyle name="40% - Акцент1 13 3" xfId="1046" xr:uid="{00000000-0005-0000-0000-000015040000}"/>
    <cellStyle name="40% - Акцент1 13 4" xfId="1047" xr:uid="{00000000-0005-0000-0000-000016040000}"/>
    <cellStyle name="40% - Акцент1 13 5" xfId="1048" xr:uid="{00000000-0005-0000-0000-000017040000}"/>
    <cellStyle name="40% - Акцент1 13 6" xfId="1049" xr:uid="{00000000-0005-0000-0000-000018040000}"/>
    <cellStyle name="40% - Акцент1 14" xfId="1050" xr:uid="{00000000-0005-0000-0000-000019040000}"/>
    <cellStyle name="40% - Акцент1 14 2" xfId="1051" xr:uid="{00000000-0005-0000-0000-00001A040000}"/>
    <cellStyle name="40% - Акцент1 14 3" xfId="1052" xr:uid="{00000000-0005-0000-0000-00001B040000}"/>
    <cellStyle name="40% - Акцент1 14 4" xfId="1053" xr:uid="{00000000-0005-0000-0000-00001C040000}"/>
    <cellStyle name="40% - Акцент1 14 5" xfId="1054" xr:uid="{00000000-0005-0000-0000-00001D040000}"/>
    <cellStyle name="40% - Акцент1 14 6" xfId="1055" xr:uid="{00000000-0005-0000-0000-00001E040000}"/>
    <cellStyle name="40% - Акцент1 15" xfId="1056" xr:uid="{00000000-0005-0000-0000-00001F040000}"/>
    <cellStyle name="40% - Акцент1 15 2" xfId="1057" xr:uid="{00000000-0005-0000-0000-000020040000}"/>
    <cellStyle name="40% - Акцент1 15 3" xfId="1058" xr:uid="{00000000-0005-0000-0000-000021040000}"/>
    <cellStyle name="40% - Акцент1 15 4" xfId="1059" xr:uid="{00000000-0005-0000-0000-000022040000}"/>
    <cellStyle name="40% - Акцент1 15 5" xfId="1060" xr:uid="{00000000-0005-0000-0000-000023040000}"/>
    <cellStyle name="40% - Акцент1 15 6" xfId="1061" xr:uid="{00000000-0005-0000-0000-000024040000}"/>
    <cellStyle name="40% - Акцент1 2" xfId="1062" xr:uid="{00000000-0005-0000-0000-000025040000}"/>
    <cellStyle name="40% - Акцент1 2 10" xfId="1063" xr:uid="{00000000-0005-0000-0000-000026040000}"/>
    <cellStyle name="40% - Акцент1 2 10 2" xfId="1064" xr:uid="{00000000-0005-0000-0000-000027040000}"/>
    <cellStyle name="40% - Акцент1 2 10 3" xfId="1065" xr:uid="{00000000-0005-0000-0000-000028040000}"/>
    <cellStyle name="40% - Акцент1 2 10 4" xfId="1066" xr:uid="{00000000-0005-0000-0000-000029040000}"/>
    <cellStyle name="40% - Акцент1 2 10 5" xfId="1067" xr:uid="{00000000-0005-0000-0000-00002A040000}"/>
    <cellStyle name="40% - Акцент1 2 10 6" xfId="1068" xr:uid="{00000000-0005-0000-0000-00002B040000}"/>
    <cellStyle name="40% - Акцент1 2 11" xfId="1069" xr:uid="{00000000-0005-0000-0000-00002C040000}"/>
    <cellStyle name="40% - Акцент1 2 11 2" xfId="1070" xr:uid="{00000000-0005-0000-0000-00002D040000}"/>
    <cellStyle name="40% - Акцент1 2 11 3" xfId="1071" xr:uid="{00000000-0005-0000-0000-00002E040000}"/>
    <cellStyle name="40% - Акцент1 2 11 4" xfId="1072" xr:uid="{00000000-0005-0000-0000-00002F040000}"/>
    <cellStyle name="40% - Акцент1 2 11 5" xfId="1073" xr:uid="{00000000-0005-0000-0000-000030040000}"/>
    <cellStyle name="40% - Акцент1 2 11 6" xfId="1074" xr:uid="{00000000-0005-0000-0000-000031040000}"/>
    <cellStyle name="40% - Акцент1 2 12" xfId="1075" xr:uid="{00000000-0005-0000-0000-000032040000}"/>
    <cellStyle name="40% - Акцент1 2 12 2" xfId="1076" xr:uid="{00000000-0005-0000-0000-000033040000}"/>
    <cellStyle name="40% - Акцент1 2 12 3" xfId="1077" xr:uid="{00000000-0005-0000-0000-000034040000}"/>
    <cellStyle name="40% - Акцент1 2 12 4" xfId="1078" xr:uid="{00000000-0005-0000-0000-000035040000}"/>
    <cellStyle name="40% - Акцент1 2 12 5" xfId="1079" xr:uid="{00000000-0005-0000-0000-000036040000}"/>
    <cellStyle name="40% - Акцент1 2 12 6" xfId="1080" xr:uid="{00000000-0005-0000-0000-000037040000}"/>
    <cellStyle name="40% - Акцент1 2 13" xfId="1081" xr:uid="{00000000-0005-0000-0000-000038040000}"/>
    <cellStyle name="40% - Акцент1 2 14" xfId="1082" xr:uid="{00000000-0005-0000-0000-000039040000}"/>
    <cellStyle name="40% - Акцент1 2 15" xfId="1083" xr:uid="{00000000-0005-0000-0000-00003A040000}"/>
    <cellStyle name="40% - Акцент1 2 16" xfId="1084" xr:uid="{00000000-0005-0000-0000-00003B040000}"/>
    <cellStyle name="40% - Акцент1 2 17" xfId="1085" xr:uid="{00000000-0005-0000-0000-00003C040000}"/>
    <cellStyle name="40% - Акцент1 2 2" xfId="1086" xr:uid="{00000000-0005-0000-0000-00003D040000}"/>
    <cellStyle name="40% - Акцент1 2 2 2" xfId="1087" xr:uid="{00000000-0005-0000-0000-00003E040000}"/>
    <cellStyle name="40% - Акцент1 2 2 3" xfId="1088" xr:uid="{00000000-0005-0000-0000-00003F040000}"/>
    <cellStyle name="40% - Акцент1 2 2 3 2" xfId="1089" xr:uid="{00000000-0005-0000-0000-000040040000}"/>
    <cellStyle name="40% - Акцент1 2 2 4" xfId="1090" xr:uid="{00000000-0005-0000-0000-000041040000}"/>
    <cellStyle name="40% - Акцент1 2 2 5" xfId="1091" xr:uid="{00000000-0005-0000-0000-000042040000}"/>
    <cellStyle name="40% - Акцент1 2 2 6" xfId="1092" xr:uid="{00000000-0005-0000-0000-000043040000}"/>
    <cellStyle name="40% - Акцент1 2 3" xfId="1093" xr:uid="{00000000-0005-0000-0000-000044040000}"/>
    <cellStyle name="40% - Акцент1 2 3 2" xfId="1094" xr:uid="{00000000-0005-0000-0000-000045040000}"/>
    <cellStyle name="40% - Акцент1 2 3 2 2" xfId="1095" xr:uid="{00000000-0005-0000-0000-000046040000}"/>
    <cellStyle name="40% - Акцент1 2 3 3" xfId="1096" xr:uid="{00000000-0005-0000-0000-000047040000}"/>
    <cellStyle name="40% - Акцент1 2 3 4" xfId="1097" xr:uid="{00000000-0005-0000-0000-000048040000}"/>
    <cellStyle name="40% - Акцент1 2 3 5" xfId="1098" xr:uid="{00000000-0005-0000-0000-000049040000}"/>
    <cellStyle name="40% - Акцент1 2 3 6" xfId="1099" xr:uid="{00000000-0005-0000-0000-00004A040000}"/>
    <cellStyle name="40% - Акцент1 2 4" xfId="1100" xr:uid="{00000000-0005-0000-0000-00004B040000}"/>
    <cellStyle name="40% - Акцент1 2 4 2" xfId="1101" xr:uid="{00000000-0005-0000-0000-00004C040000}"/>
    <cellStyle name="40% - Акцент1 2 4 3" xfId="1102" xr:uid="{00000000-0005-0000-0000-00004D040000}"/>
    <cellStyle name="40% - Акцент1 2 4 4" xfId="1103" xr:uid="{00000000-0005-0000-0000-00004E040000}"/>
    <cellStyle name="40% - Акцент1 2 4 5" xfId="1104" xr:uid="{00000000-0005-0000-0000-00004F040000}"/>
    <cellStyle name="40% - Акцент1 2 4 6" xfId="1105" xr:uid="{00000000-0005-0000-0000-000050040000}"/>
    <cellStyle name="40% - Акцент1 2 4 7" xfId="1106" xr:uid="{00000000-0005-0000-0000-000051040000}"/>
    <cellStyle name="40% - Акцент1 2 5" xfId="1107" xr:uid="{00000000-0005-0000-0000-000052040000}"/>
    <cellStyle name="40% - Акцент1 2 5 2" xfId="1108" xr:uid="{00000000-0005-0000-0000-000053040000}"/>
    <cellStyle name="40% - Акцент1 2 5 3" xfId="1109" xr:uid="{00000000-0005-0000-0000-000054040000}"/>
    <cellStyle name="40% - Акцент1 2 5 4" xfId="1110" xr:uid="{00000000-0005-0000-0000-000055040000}"/>
    <cellStyle name="40% - Акцент1 2 5 5" xfId="1111" xr:uid="{00000000-0005-0000-0000-000056040000}"/>
    <cellStyle name="40% - Акцент1 2 5 6" xfId="1112" xr:uid="{00000000-0005-0000-0000-000057040000}"/>
    <cellStyle name="40% - Акцент1 2 5 7" xfId="1113" xr:uid="{00000000-0005-0000-0000-000058040000}"/>
    <cellStyle name="40% - Акцент1 2 6" xfId="1114" xr:uid="{00000000-0005-0000-0000-000059040000}"/>
    <cellStyle name="40% - Акцент1 2 6 2" xfId="1115" xr:uid="{00000000-0005-0000-0000-00005A040000}"/>
    <cellStyle name="40% - Акцент1 2 6 3" xfId="1116" xr:uid="{00000000-0005-0000-0000-00005B040000}"/>
    <cellStyle name="40% - Акцент1 2 6 4" xfId="1117" xr:uid="{00000000-0005-0000-0000-00005C040000}"/>
    <cellStyle name="40% - Акцент1 2 6 5" xfId="1118" xr:uid="{00000000-0005-0000-0000-00005D040000}"/>
    <cellStyle name="40% - Акцент1 2 6 6" xfId="1119" xr:uid="{00000000-0005-0000-0000-00005E040000}"/>
    <cellStyle name="40% - Акцент1 2 6 7" xfId="1120" xr:uid="{00000000-0005-0000-0000-00005F040000}"/>
    <cellStyle name="40% - Акцент1 2 7" xfId="1121" xr:uid="{00000000-0005-0000-0000-000060040000}"/>
    <cellStyle name="40% - Акцент1 2 7 2" xfId="1122" xr:uid="{00000000-0005-0000-0000-000061040000}"/>
    <cellStyle name="40% - Акцент1 2 7 3" xfId="1123" xr:uid="{00000000-0005-0000-0000-000062040000}"/>
    <cellStyle name="40% - Акцент1 2 7 4" xfId="1124" xr:uid="{00000000-0005-0000-0000-000063040000}"/>
    <cellStyle name="40% - Акцент1 2 7 5" xfId="1125" xr:uid="{00000000-0005-0000-0000-000064040000}"/>
    <cellStyle name="40% - Акцент1 2 7 6" xfId="1126" xr:uid="{00000000-0005-0000-0000-000065040000}"/>
    <cellStyle name="40% - Акцент1 2 8" xfId="1127" xr:uid="{00000000-0005-0000-0000-000066040000}"/>
    <cellStyle name="40% - Акцент1 2 8 2" xfId="1128" xr:uid="{00000000-0005-0000-0000-000067040000}"/>
    <cellStyle name="40% - Акцент1 2 8 3" xfId="1129" xr:uid="{00000000-0005-0000-0000-000068040000}"/>
    <cellStyle name="40% - Акцент1 2 8 4" xfId="1130" xr:uid="{00000000-0005-0000-0000-000069040000}"/>
    <cellStyle name="40% - Акцент1 2 8 5" xfId="1131" xr:uid="{00000000-0005-0000-0000-00006A040000}"/>
    <cellStyle name="40% - Акцент1 2 8 6" xfId="1132" xr:uid="{00000000-0005-0000-0000-00006B040000}"/>
    <cellStyle name="40% - Акцент1 2 9" xfId="1133" xr:uid="{00000000-0005-0000-0000-00006C040000}"/>
    <cellStyle name="40% - Акцент1 2 9 2" xfId="1134" xr:uid="{00000000-0005-0000-0000-00006D040000}"/>
    <cellStyle name="40% - Акцент1 2 9 3" xfId="1135" xr:uid="{00000000-0005-0000-0000-00006E040000}"/>
    <cellStyle name="40% - Акцент1 2 9 4" xfId="1136" xr:uid="{00000000-0005-0000-0000-00006F040000}"/>
    <cellStyle name="40% - Акцент1 2 9 5" xfId="1137" xr:uid="{00000000-0005-0000-0000-000070040000}"/>
    <cellStyle name="40% - Акцент1 2 9 6" xfId="1138" xr:uid="{00000000-0005-0000-0000-000071040000}"/>
    <cellStyle name="40% - Акцент1 2_2355 Голубева" xfId="1139" xr:uid="{00000000-0005-0000-0000-000072040000}"/>
    <cellStyle name="40% - Акцент1 3" xfId="1140" xr:uid="{00000000-0005-0000-0000-000073040000}"/>
    <cellStyle name="40% - Акцент1 3 2" xfId="1141" xr:uid="{00000000-0005-0000-0000-000074040000}"/>
    <cellStyle name="40% - Акцент1 3 2 2" xfId="1142" xr:uid="{00000000-0005-0000-0000-000075040000}"/>
    <cellStyle name="40% - Акцент1 3 3" xfId="1143" xr:uid="{00000000-0005-0000-0000-000076040000}"/>
    <cellStyle name="40% - Акцент1 3 4" xfId="1144" xr:uid="{00000000-0005-0000-0000-000077040000}"/>
    <cellStyle name="40% - Акцент1 3 5" xfId="1145" xr:uid="{00000000-0005-0000-0000-000078040000}"/>
    <cellStyle name="40% - Акцент1 3 6" xfId="1146" xr:uid="{00000000-0005-0000-0000-000079040000}"/>
    <cellStyle name="40% - Акцент1 4" xfId="1147" xr:uid="{00000000-0005-0000-0000-00007A040000}"/>
    <cellStyle name="40% - Акцент1 4 2" xfId="1148" xr:uid="{00000000-0005-0000-0000-00007B040000}"/>
    <cellStyle name="40% - Акцент1 4 3" xfId="1149" xr:uid="{00000000-0005-0000-0000-00007C040000}"/>
    <cellStyle name="40% - Акцент1 4 4" xfId="1150" xr:uid="{00000000-0005-0000-0000-00007D040000}"/>
    <cellStyle name="40% - Акцент1 4 5" xfId="1151" xr:uid="{00000000-0005-0000-0000-00007E040000}"/>
    <cellStyle name="40% - Акцент1 4 6" xfId="1152" xr:uid="{00000000-0005-0000-0000-00007F040000}"/>
    <cellStyle name="40% - Акцент1 4 7" xfId="1153" xr:uid="{00000000-0005-0000-0000-000080040000}"/>
    <cellStyle name="40% - Акцент1 5" xfId="1154" xr:uid="{00000000-0005-0000-0000-000081040000}"/>
    <cellStyle name="40% - Акцент1 5 2" xfId="1155" xr:uid="{00000000-0005-0000-0000-000082040000}"/>
    <cellStyle name="40% - Акцент1 5 3" xfId="1156" xr:uid="{00000000-0005-0000-0000-000083040000}"/>
    <cellStyle name="40% - Акцент1 5 4" xfId="1157" xr:uid="{00000000-0005-0000-0000-000084040000}"/>
    <cellStyle name="40% - Акцент1 5 5" xfId="1158" xr:uid="{00000000-0005-0000-0000-000085040000}"/>
    <cellStyle name="40% - Акцент1 5 6" xfId="1159" xr:uid="{00000000-0005-0000-0000-000086040000}"/>
    <cellStyle name="40% - Акцент1 5 7" xfId="1160" xr:uid="{00000000-0005-0000-0000-000087040000}"/>
    <cellStyle name="40% - Акцент1 6" xfId="1161" xr:uid="{00000000-0005-0000-0000-000088040000}"/>
    <cellStyle name="40% - Акцент1 6 2" xfId="1162" xr:uid="{00000000-0005-0000-0000-000089040000}"/>
    <cellStyle name="40% - Акцент1 6 3" xfId="1163" xr:uid="{00000000-0005-0000-0000-00008A040000}"/>
    <cellStyle name="40% - Акцент1 6 4" xfId="1164" xr:uid="{00000000-0005-0000-0000-00008B040000}"/>
    <cellStyle name="40% - Акцент1 6 5" xfId="1165" xr:uid="{00000000-0005-0000-0000-00008C040000}"/>
    <cellStyle name="40% - Акцент1 6 6" xfId="1166" xr:uid="{00000000-0005-0000-0000-00008D040000}"/>
    <cellStyle name="40% - Акцент1 6 7" xfId="1167" xr:uid="{00000000-0005-0000-0000-00008E040000}"/>
    <cellStyle name="40% - Акцент1 7" xfId="1168" xr:uid="{00000000-0005-0000-0000-00008F040000}"/>
    <cellStyle name="40% - Акцент1 7 2" xfId="1169" xr:uid="{00000000-0005-0000-0000-000090040000}"/>
    <cellStyle name="40% - Акцент1 7 3" xfId="1170" xr:uid="{00000000-0005-0000-0000-000091040000}"/>
    <cellStyle name="40% - Акцент1 7 4" xfId="1171" xr:uid="{00000000-0005-0000-0000-000092040000}"/>
    <cellStyle name="40% - Акцент1 7 5" xfId="1172" xr:uid="{00000000-0005-0000-0000-000093040000}"/>
    <cellStyle name="40% - Акцент1 7 6" xfId="1173" xr:uid="{00000000-0005-0000-0000-000094040000}"/>
    <cellStyle name="40% - Акцент1 7 7" xfId="1174" xr:uid="{00000000-0005-0000-0000-000095040000}"/>
    <cellStyle name="40% - Акцент1 8" xfId="1175" xr:uid="{00000000-0005-0000-0000-000096040000}"/>
    <cellStyle name="40% - Акцент1 8 2" xfId="1176" xr:uid="{00000000-0005-0000-0000-000097040000}"/>
    <cellStyle name="40% - Акцент1 8 3" xfId="1177" xr:uid="{00000000-0005-0000-0000-000098040000}"/>
    <cellStyle name="40% - Акцент1 8 4" xfId="1178" xr:uid="{00000000-0005-0000-0000-000099040000}"/>
    <cellStyle name="40% - Акцент1 8 5" xfId="1179" xr:uid="{00000000-0005-0000-0000-00009A040000}"/>
    <cellStyle name="40% - Акцент1 8 6" xfId="1180" xr:uid="{00000000-0005-0000-0000-00009B040000}"/>
    <cellStyle name="40% - Акцент1 8 7" xfId="1181" xr:uid="{00000000-0005-0000-0000-00009C040000}"/>
    <cellStyle name="40% - Акцент1 9" xfId="1182" xr:uid="{00000000-0005-0000-0000-00009D040000}"/>
    <cellStyle name="40% - Акцент1 9 2" xfId="1183" xr:uid="{00000000-0005-0000-0000-00009E040000}"/>
    <cellStyle name="40% - Акцент1 9 3" xfId="1184" xr:uid="{00000000-0005-0000-0000-00009F040000}"/>
    <cellStyle name="40% - Акцент1 9 4" xfId="1185" xr:uid="{00000000-0005-0000-0000-0000A0040000}"/>
    <cellStyle name="40% - Акцент1 9 5" xfId="1186" xr:uid="{00000000-0005-0000-0000-0000A1040000}"/>
    <cellStyle name="40% - Акцент1 9 6" xfId="1187" xr:uid="{00000000-0005-0000-0000-0000A2040000}"/>
    <cellStyle name="40% - Акцент1 9 7" xfId="1188" xr:uid="{00000000-0005-0000-0000-0000A3040000}"/>
    <cellStyle name="40% - Акцент2 10" xfId="1189" xr:uid="{00000000-0005-0000-0000-0000A4040000}"/>
    <cellStyle name="40% - Акцент2 10 2" xfId="1190" xr:uid="{00000000-0005-0000-0000-0000A5040000}"/>
    <cellStyle name="40% - Акцент2 10 3" xfId="1191" xr:uid="{00000000-0005-0000-0000-0000A6040000}"/>
    <cellStyle name="40% - Акцент2 10 4" xfId="1192" xr:uid="{00000000-0005-0000-0000-0000A7040000}"/>
    <cellStyle name="40% - Акцент2 10 5" xfId="1193" xr:uid="{00000000-0005-0000-0000-0000A8040000}"/>
    <cellStyle name="40% - Акцент2 10 6" xfId="1194" xr:uid="{00000000-0005-0000-0000-0000A9040000}"/>
    <cellStyle name="40% - Акцент2 11" xfId="1195" xr:uid="{00000000-0005-0000-0000-0000AA040000}"/>
    <cellStyle name="40% - Акцент2 11 2" xfId="1196" xr:uid="{00000000-0005-0000-0000-0000AB040000}"/>
    <cellStyle name="40% - Акцент2 11 3" xfId="1197" xr:uid="{00000000-0005-0000-0000-0000AC040000}"/>
    <cellStyle name="40% - Акцент2 11 4" xfId="1198" xr:uid="{00000000-0005-0000-0000-0000AD040000}"/>
    <cellStyle name="40% - Акцент2 11 5" xfId="1199" xr:uid="{00000000-0005-0000-0000-0000AE040000}"/>
    <cellStyle name="40% - Акцент2 11 6" xfId="1200" xr:uid="{00000000-0005-0000-0000-0000AF040000}"/>
    <cellStyle name="40% - Акцент2 12" xfId="1201" xr:uid="{00000000-0005-0000-0000-0000B0040000}"/>
    <cellStyle name="40% - Акцент2 12 2" xfId="1202" xr:uid="{00000000-0005-0000-0000-0000B1040000}"/>
    <cellStyle name="40% - Акцент2 12 3" xfId="1203" xr:uid="{00000000-0005-0000-0000-0000B2040000}"/>
    <cellStyle name="40% - Акцент2 12 4" xfId="1204" xr:uid="{00000000-0005-0000-0000-0000B3040000}"/>
    <cellStyle name="40% - Акцент2 12 5" xfId="1205" xr:uid="{00000000-0005-0000-0000-0000B4040000}"/>
    <cellStyle name="40% - Акцент2 12 6" xfId="1206" xr:uid="{00000000-0005-0000-0000-0000B5040000}"/>
    <cellStyle name="40% - Акцент2 13" xfId="1207" xr:uid="{00000000-0005-0000-0000-0000B6040000}"/>
    <cellStyle name="40% - Акцент2 13 2" xfId="1208" xr:uid="{00000000-0005-0000-0000-0000B7040000}"/>
    <cellStyle name="40% - Акцент2 13 3" xfId="1209" xr:uid="{00000000-0005-0000-0000-0000B8040000}"/>
    <cellStyle name="40% - Акцент2 13 4" xfId="1210" xr:uid="{00000000-0005-0000-0000-0000B9040000}"/>
    <cellStyle name="40% - Акцент2 13 5" xfId="1211" xr:uid="{00000000-0005-0000-0000-0000BA040000}"/>
    <cellStyle name="40% - Акцент2 13 6" xfId="1212" xr:uid="{00000000-0005-0000-0000-0000BB040000}"/>
    <cellStyle name="40% - Акцент2 14" xfId="1213" xr:uid="{00000000-0005-0000-0000-0000BC040000}"/>
    <cellStyle name="40% - Акцент2 14 2" xfId="1214" xr:uid="{00000000-0005-0000-0000-0000BD040000}"/>
    <cellStyle name="40% - Акцент2 14 3" xfId="1215" xr:uid="{00000000-0005-0000-0000-0000BE040000}"/>
    <cellStyle name="40% - Акцент2 14 4" xfId="1216" xr:uid="{00000000-0005-0000-0000-0000BF040000}"/>
    <cellStyle name="40% - Акцент2 14 5" xfId="1217" xr:uid="{00000000-0005-0000-0000-0000C0040000}"/>
    <cellStyle name="40% - Акцент2 14 6" xfId="1218" xr:uid="{00000000-0005-0000-0000-0000C1040000}"/>
    <cellStyle name="40% - Акцент2 15" xfId="1219" xr:uid="{00000000-0005-0000-0000-0000C2040000}"/>
    <cellStyle name="40% - Акцент2 15 2" xfId="1220" xr:uid="{00000000-0005-0000-0000-0000C3040000}"/>
    <cellStyle name="40% - Акцент2 15 3" xfId="1221" xr:uid="{00000000-0005-0000-0000-0000C4040000}"/>
    <cellStyle name="40% - Акцент2 15 4" xfId="1222" xr:uid="{00000000-0005-0000-0000-0000C5040000}"/>
    <cellStyle name="40% - Акцент2 15 5" xfId="1223" xr:uid="{00000000-0005-0000-0000-0000C6040000}"/>
    <cellStyle name="40% - Акцент2 15 6" xfId="1224" xr:uid="{00000000-0005-0000-0000-0000C7040000}"/>
    <cellStyle name="40% - Акцент2 2" xfId="1225" xr:uid="{00000000-0005-0000-0000-0000C8040000}"/>
    <cellStyle name="40% - Акцент2 2 10" xfId="1226" xr:uid="{00000000-0005-0000-0000-0000C9040000}"/>
    <cellStyle name="40% - Акцент2 2 10 2" xfId="1227" xr:uid="{00000000-0005-0000-0000-0000CA040000}"/>
    <cellStyle name="40% - Акцент2 2 10 3" xfId="1228" xr:uid="{00000000-0005-0000-0000-0000CB040000}"/>
    <cellStyle name="40% - Акцент2 2 10 4" xfId="1229" xr:uid="{00000000-0005-0000-0000-0000CC040000}"/>
    <cellStyle name="40% - Акцент2 2 10 5" xfId="1230" xr:uid="{00000000-0005-0000-0000-0000CD040000}"/>
    <cellStyle name="40% - Акцент2 2 10 6" xfId="1231" xr:uid="{00000000-0005-0000-0000-0000CE040000}"/>
    <cellStyle name="40% - Акцент2 2 11" xfId="1232" xr:uid="{00000000-0005-0000-0000-0000CF040000}"/>
    <cellStyle name="40% - Акцент2 2 11 2" xfId="1233" xr:uid="{00000000-0005-0000-0000-0000D0040000}"/>
    <cellStyle name="40% - Акцент2 2 11 3" xfId="1234" xr:uid="{00000000-0005-0000-0000-0000D1040000}"/>
    <cellStyle name="40% - Акцент2 2 11 4" xfId="1235" xr:uid="{00000000-0005-0000-0000-0000D2040000}"/>
    <cellStyle name="40% - Акцент2 2 11 5" xfId="1236" xr:uid="{00000000-0005-0000-0000-0000D3040000}"/>
    <cellStyle name="40% - Акцент2 2 11 6" xfId="1237" xr:uid="{00000000-0005-0000-0000-0000D4040000}"/>
    <cellStyle name="40% - Акцент2 2 12" xfId="1238" xr:uid="{00000000-0005-0000-0000-0000D5040000}"/>
    <cellStyle name="40% - Акцент2 2 12 2" xfId="1239" xr:uid="{00000000-0005-0000-0000-0000D6040000}"/>
    <cellStyle name="40% - Акцент2 2 12 3" xfId="1240" xr:uid="{00000000-0005-0000-0000-0000D7040000}"/>
    <cellStyle name="40% - Акцент2 2 12 4" xfId="1241" xr:uid="{00000000-0005-0000-0000-0000D8040000}"/>
    <cellStyle name="40% - Акцент2 2 12 5" xfId="1242" xr:uid="{00000000-0005-0000-0000-0000D9040000}"/>
    <cellStyle name="40% - Акцент2 2 12 6" xfId="1243" xr:uid="{00000000-0005-0000-0000-0000DA040000}"/>
    <cellStyle name="40% - Акцент2 2 13" xfId="1244" xr:uid="{00000000-0005-0000-0000-0000DB040000}"/>
    <cellStyle name="40% - Акцент2 2 14" xfId="1245" xr:uid="{00000000-0005-0000-0000-0000DC040000}"/>
    <cellStyle name="40% - Акцент2 2 15" xfId="1246" xr:uid="{00000000-0005-0000-0000-0000DD040000}"/>
    <cellStyle name="40% - Акцент2 2 16" xfId="1247" xr:uid="{00000000-0005-0000-0000-0000DE040000}"/>
    <cellStyle name="40% - Акцент2 2 17" xfId="1248" xr:uid="{00000000-0005-0000-0000-0000DF040000}"/>
    <cellStyle name="40% - Акцент2 2 2" xfId="1249" xr:uid="{00000000-0005-0000-0000-0000E0040000}"/>
    <cellStyle name="40% - Акцент2 2 2 2" xfId="1250" xr:uid="{00000000-0005-0000-0000-0000E1040000}"/>
    <cellStyle name="40% - Акцент2 2 2 3" xfId="1251" xr:uid="{00000000-0005-0000-0000-0000E2040000}"/>
    <cellStyle name="40% - Акцент2 2 2 3 2" xfId="1252" xr:uid="{00000000-0005-0000-0000-0000E3040000}"/>
    <cellStyle name="40% - Акцент2 2 2 4" xfId="1253" xr:uid="{00000000-0005-0000-0000-0000E4040000}"/>
    <cellStyle name="40% - Акцент2 2 2 5" xfId="1254" xr:uid="{00000000-0005-0000-0000-0000E5040000}"/>
    <cellStyle name="40% - Акцент2 2 2 6" xfId="1255" xr:uid="{00000000-0005-0000-0000-0000E6040000}"/>
    <cellStyle name="40% - Акцент2 2 3" xfId="1256" xr:uid="{00000000-0005-0000-0000-0000E7040000}"/>
    <cellStyle name="40% - Акцент2 2 3 2" xfId="1257" xr:uid="{00000000-0005-0000-0000-0000E8040000}"/>
    <cellStyle name="40% - Акцент2 2 3 2 2" xfId="1258" xr:uid="{00000000-0005-0000-0000-0000E9040000}"/>
    <cellStyle name="40% - Акцент2 2 3 3" xfId="1259" xr:uid="{00000000-0005-0000-0000-0000EA040000}"/>
    <cellStyle name="40% - Акцент2 2 3 4" xfId="1260" xr:uid="{00000000-0005-0000-0000-0000EB040000}"/>
    <cellStyle name="40% - Акцент2 2 3 5" xfId="1261" xr:uid="{00000000-0005-0000-0000-0000EC040000}"/>
    <cellStyle name="40% - Акцент2 2 3 6" xfId="1262" xr:uid="{00000000-0005-0000-0000-0000ED040000}"/>
    <cellStyle name="40% - Акцент2 2 4" xfId="1263" xr:uid="{00000000-0005-0000-0000-0000EE040000}"/>
    <cellStyle name="40% - Акцент2 2 4 2" xfId="1264" xr:uid="{00000000-0005-0000-0000-0000EF040000}"/>
    <cellStyle name="40% - Акцент2 2 4 3" xfId="1265" xr:uid="{00000000-0005-0000-0000-0000F0040000}"/>
    <cellStyle name="40% - Акцент2 2 4 4" xfId="1266" xr:uid="{00000000-0005-0000-0000-0000F1040000}"/>
    <cellStyle name="40% - Акцент2 2 4 5" xfId="1267" xr:uid="{00000000-0005-0000-0000-0000F2040000}"/>
    <cellStyle name="40% - Акцент2 2 4 6" xfId="1268" xr:uid="{00000000-0005-0000-0000-0000F3040000}"/>
    <cellStyle name="40% - Акцент2 2 4 7" xfId="1269" xr:uid="{00000000-0005-0000-0000-0000F4040000}"/>
    <cellStyle name="40% - Акцент2 2 5" xfId="1270" xr:uid="{00000000-0005-0000-0000-0000F5040000}"/>
    <cellStyle name="40% - Акцент2 2 5 2" xfId="1271" xr:uid="{00000000-0005-0000-0000-0000F6040000}"/>
    <cellStyle name="40% - Акцент2 2 5 3" xfId="1272" xr:uid="{00000000-0005-0000-0000-0000F7040000}"/>
    <cellStyle name="40% - Акцент2 2 5 4" xfId="1273" xr:uid="{00000000-0005-0000-0000-0000F8040000}"/>
    <cellStyle name="40% - Акцент2 2 5 5" xfId="1274" xr:uid="{00000000-0005-0000-0000-0000F9040000}"/>
    <cellStyle name="40% - Акцент2 2 5 6" xfId="1275" xr:uid="{00000000-0005-0000-0000-0000FA040000}"/>
    <cellStyle name="40% - Акцент2 2 5 7" xfId="1276" xr:uid="{00000000-0005-0000-0000-0000FB040000}"/>
    <cellStyle name="40% - Акцент2 2 6" xfId="1277" xr:uid="{00000000-0005-0000-0000-0000FC040000}"/>
    <cellStyle name="40% - Акцент2 2 6 2" xfId="1278" xr:uid="{00000000-0005-0000-0000-0000FD040000}"/>
    <cellStyle name="40% - Акцент2 2 6 3" xfId="1279" xr:uid="{00000000-0005-0000-0000-0000FE040000}"/>
    <cellStyle name="40% - Акцент2 2 6 4" xfId="1280" xr:uid="{00000000-0005-0000-0000-0000FF040000}"/>
    <cellStyle name="40% - Акцент2 2 6 5" xfId="1281" xr:uid="{00000000-0005-0000-0000-000000050000}"/>
    <cellStyle name="40% - Акцент2 2 6 6" xfId="1282" xr:uid="{00000000-0005-0000-0000-000001050000}"/>
    <cellStyle name="40% - Акцент2 2 6 7" xfId="1283" xr:uid="{00000000-0005-0000-0000-000002050000}"/>
    <cellStyle name="40% - Акцент2 2 7" xfId="1284" xr:uid="{00000000-0005-0000-0000-000003050000}"/>
    <cellStyle name="40% - Акцент2 2 7 2" xfId="1285" xr:uid="{00000000-0005-0000-0000-000004050000}"/>
    <cellStyle name="40% - Акцент2 2 7 3" xfId="1286" xr:uid="{00000000-0005-0000-0000-000005050000}"/>
    <cellStyle name="40% - Акцент2 2 7 4" xfId="1287" xr:uid="{00000000-0005-0000-0000-000006050000}"/>
    <cellStyle name="40% - Акцент2 2 7 5" xfId="1288" xr:uid="{00000000-0005-0000-0000-000007050000}"/>
    <cellStyle name="40% - Акцент2 2 7 6" xfId="1289" xr:uid="{00000000-0005-0000-0000-000008050000}"/>
    <cellStyle name="40% - Акцент2 2 8" xfId="1290" xr:uid="{00000000-0005-0000-0000-000009050000}"/>
    <cellStyle name="40% - Акцент2 2 8 2" xfId="1291" xr:uid="{00000000-0005-0000-0000-00000A050000}"/>
    <cellStyle name="40% - Акцент2 2 8 3" xfId="1292" xr:uid="{00000000-0005-0000-0000-00000B050000}"/>
    <cellStyle name="40% - Акцент2 2 8 4" xfId="1293" xr:uid="{00000000-0005-0000-0000-00000C050000}"/>
    <cellStyle name="40% - Акцент2 2 8 5" xfId="1294" xr:uid="{00000000-0005-0000-0000-00000D050000}"/>
    <cellStyle name="40% - Акцент2 2 8 6" xfId="1295" xr:uid="{00000000-0005-0000-0000-00000E050000}"/>
    <cellStyle name="40% - Акцент2 2 9" xfId="1296" xr:uid="{00000000-0005-0000-0000-00000F050000}"/>
    <cellStyle name="40% - Акцент2 2 9 2" xfId="1297" xr:uid="{00000000-0005-0000-0000-000010050000}"/>
    <cellStyle name="40% - Акцент2 2 9 3" xfId="1298" xr:uid="{00000000-0005-0000-0000-000011050000}"/>
    <cellStyle name="40% - Акцент2 2 9 4" xfId="1299" xr:uid="{00000000-0005-0000-0000-000012050000}"/>
    <cellStyle name="40% - Акцент2 2 9 5" xfId="1300" xr:uid="{00000000-0005-0000-0000-000013050000}"/>
    <cellStyle name="40% - Акцент2 2 9 6" xfId="1301" xr:uid="{00000000-0005-0000-0000-000014050000}"/>
    <cellStyle name="40% - Акцент2 2_2355 Голубева" xfId="1302" xr:uid="{00000000-0005-0000-0000-000015050000}"/>
    <cellStyle name="40% - Акцент2 3" xfId="1303" xr:uid="{00000000-0005-0000-0000-000016050000}"/>
    <cellStyle name="40% - Акцент2 3 2" xfId="1304" xr:uid="{00000000-0005-0000-0000-000017050000}"/>
    <cellStyle name="40% - Акцент2 3 2 2" xfId="1305" xr:uid="{00000000-0005-0000-0000-000018050000}"/>
    <cellStyle name="40% - Акцент2 3 3" xfId="1306" xr:uid="{00000000-0005-0000-0000-000019050000}"/>
    <cellStyle name="40% - Акцент2 3 4" xfId="1307" xr:uid="{00000000-0005-0000-0000-00001A050000}"/>
    <cellStyle name="40% - Акцент2 3 5" xfId="1308" xr:uid="{00000000-0005-0000-0000-00001B050000}"/>
    <cellStyle name="40% - Акцент2 3 6" xfId="1309" xr:uid="{00000000-0005-0000-0000-00001C050000}"/>
    <cellStyle name="40% - Акцент2 4" xfId="1310" xr:uid="{00000000-0005-0000-0000-00001D050000}"/>
    <cellStyle name="40% - Акцент2 4 2" xfId="1311" xr:uid="{00000000-0005-0000-0000-00001E050000}"/>
    <cellStyle name="40% - Акцент2 4 3" xfId="1312" xr:uid="{00000000-0005-0000-0000-00001F050000}"/>
    <cellStyle name="40% - Акцент2 4 4" xfId="1313" xr:uid="{00000000-0005-0000-0000-000020050000}"/>
    <cellStyle name="40% - Акцент2 4 5" xfId="1314" xr:uid="{00000000-0005-0000-0000-000021050000}"/>
    <cellStyle name="40% - Акцент2 4 6" xfId="1315" xr:uid="{00000000-0005-0000-0000-000022050000}"/>
    <cellStyle name="40% - Акцент2 4 7" xfId="1316" xr:uid="{00000000-0005-0000-0000-000023050000}"/>
    <cellStyle name="40% - Акцент2 5" xfId="1317" xr:uid="{00000000-0005-0000-0000-000024050000}"/>
    <cellStyle name="40% - Акцент2 5 2" xfId="1318" xr:uid="{00000000-0005-0000-0000-000025050000}"/>
    <cellStyle name="40% - Акцент2 5 3" xfId="1319" xr:uid="{00000000-0005-0000-0000-000026050000}"/>
    <cellStyle name="40% - Акцент2 5 4" xfId="1320" xr:uid="{00000000-0005-0000-0000-000027050000}"/>
    <cellStyle name="40% - Акцент2 5 5" xfId="1321" xr:uid="{00000000-0005-0000-0000-000028050000}"/>
    <cellStyle name="40% - Акцент2 5 6" xfId="1322" xr:uid="{00000000-0005-0000-0000-000029050000}"/>
    <cellStyle name="40% - Акцент2 5 7" xfId="1323" xr:uid="{00000000-0005-0000-0000-00002A050000}"/>
    <cellStyle name="40% - Акцент2 6" xfId="1324" xr:uid="{00000000-0005-0000-0000-00002B050000}"/>
    <cellStyle name="40% - Акцент2 6 2" xfId="1325" xr:uid="{00000000-0005-0000-0000-00002C050000}"/>
    <cellStyle name="40% - Акцент2 6 3" xfId="1326" xr:uid="{00000000-0005-0000-0000-00002D050000}"/>
    <cellStyle name="40% - Акцент2 6 4" xfId="1327" xr:uid="{00000000-0005-0000-0000-00002E050000}"/>
    <cellStyle name="40% - Акцент2 6 5" xfId="1328" xr:uid="{00000000-0005-0000-0000-00002F050000}"/>
    <cellStyle name="40% - Акцент2 6 6" xfId="1329" xr:uid="{00000000-0005-0000-0000-000030050000}"/>
    <cellStyle name="40% - Акцент2 6 7" xfId="1330" xr:uid="{00000000-0005-0000-0000-000031050000}"/>
    <cellStyle name="40% - Акцент2 7" xfId="1331" xr:uid="{00000000-0005-0000-0000-000032050000}"/>
    <cellStyle name="40% - Акцент2 7 2" xfId="1332" xr:uid="{00000000-0005-0000-0000-000033050000}"/>
    <cellStyle name="40% - Акцент2 7 3" xfId="1333" xr:uid="{00000000-0005-0000-0000-000034050000}"/>
    <cellStyle name="40% - Акцент2 7 4" xfId="1334" xr:uid="{00000000-0005-0000-0000-000035050000}"/>
    <cellStyle name="40% - Акцент2 7 5" xfId="1335" xr:uid="{00000000-0005-0000-0000-000036050000}"/>
    <cellStyle name="40% - Акцент2 7 6" xfId="1336" xr:uid="{00000000-0005-0000-0000-000037050000}"/>
    <cellStyle name="40% - Акцент2 7 7" xfId="1337" xr:uid="{00000000-0005-0000-0000-000038050000}"/>
    <cellStyle name="40% - Акцент2 8" xfId="1338" xr:uid="{00000000-0005-0000-0000-000039050000}"/>
    <cellStyle name="40% - Акцент2 8 2" xfId="1339" xr:uid="{00000000-0005-0000-0000-00003A050000}"/>
    <cellStyle name="40% - Акцент2 8 3" xfId="1340" xr:uid="{00000000-0005-0000-0000-00003B050000}"/>
    <cellStyle name="40% - Акцент2 8 4" xfId="1341" xr:uid="{00000000-0005-0000-0000-00003C050000}"/>
    <cellStyle name="40% - Акцент2 8 5" xfId="1342" xr:uid="{00000000-0005-0000-0000-00003D050000}"/>
    <cellStyle name="40% - Акцент2 8 6" xfId="1343" xr:uid="{00000000-0005-0000-0000-00003E050000}"/>
    <cellStyle name="40% - Акцент2 8 7" xfId="1344" xr:uid="{00000000-0005-0000-0000-00003F050000}"/>
    <cellStyle name="40% - Акцент2 9" xfId="1345" xr:uid="{00000000-0005-0000-0000-000040050000}"/>
    <cellStyle name="40% - Акцент2 9 2" xfId="1346" xr:uid="{00000000-0005-0000-0000-000041050000}"/>
    <cellStyle name="40% - Акцент2 9 3" xfId="1347" xr:uid="{00000000-0005-0000-0000-000042050000}"/>
    <cellStyle name="40% - Акцент2 9 4" xfId="1348" xr:uid="{00000000-0005-0000-0000-000043050000}"/>
    <cellStyle name="40% - Акцент2 9 5" xfId="1349" xr:uid="{00000000-0005-0000-0000-000044050000}"/>
    <cellStyle name="40% - Акцент2 9 6" xfId="1350" xr:uid="{00000000-0005-0000-0000-000045050000}"/>
    <cellStyle name="40% - Акцент2 9 7" xfId="1351" xr:uid="{00000000-0005-0000-0000-000046050000}"/>
    <cellStyle name="40% - Акцент3 10" xfId="1352" xr:uid="{00000000-0005-0000-0000-000047050000}"/>
    <cellStyle name="40% - Акцент3 10 2" xfId="1353" xr:uid="{00000000-0005-0000-0000-000048050000}"/>
    <cellStyle name="40% - Акцент3 10 3" xfId="1354" xr:uid="{00000000-0005-0000-0000-000049050000}"/>
    <cellStyle name="40% - Акцент3 10 4" xfId="1355" xr:uid="{00000000-0005-0000-0000-00004A050000}"/>
    <cellStyle name="40% - Акцент3 10 5" xfId="1356" xr:uid="{00000000-0005-0000-0000-00004B050000}"/>
    <cellStyle name="40% - Акцент3 10 6" xfId="1357" xr:uid="{00000000-0005-0000-0000-00004C050000}"/>
    <cellStyle name="40% - Акцент3 11" xfId="1358" xr:uid="{00000000-0005-0000-0000-00004D050000}"/>
    <cellStyle name="40% - Акцент3 11 2" xfId="1359" xr:uid="{00000000-0005-0000-0000-00004E050000}"/>
    <cellStyle name="40% - Акцент3 11 3" xfId="1360" xr:uid="{00000000-0005-0000-0000-00004F050000}"/>
    <cellStyle name="40% - Акцент3 11 4" xfId="1361" xr:uid="{00000000-0005-0000-0000-000050050000}"/>
    <cellStyle name="40% - Акцент3 11 5" xfId="1362" xr:uid="{00000000-0005-0000-0000-000051050000}"/>
    <cellStyle name="40% - Акцент3 11 6" xfId="1363" xr:uid="{00000000-0005-0000-0000-000052050000}"/>
    <cellStyle name="40% - Акцент3 12" xfId="1364" xr:uid="{00000000-0005-0000-0000-000053050000}"/>
    <cellStyle name="40% - Акцент3 12 2" xfId="1365" xr:uid="{00000000-0005-0000-0000-000054050000}"/>
    <cellStyle name="40% - Акцент3 12 3" xfId="1366" xr:uid="{00000000-0005-0000-0000-000055050000}"/>
    <cellStyle name="40% - Акцент3 12 4" xfId="1367" xr:uid="{00000000-0005-0000-0000-000056050000}"/>
    <cellStyle name="40% - Акцент3 12 5" xfId="1368" xr:uid="{00000000-0005-0000-0000-000057050000}"/>
    <cellStyle name="40% - Акцент3 12 6" xfId="1369" xr:uid="{00000000-0005-0000-0000-000058050000}"/>
    <cellStyle name="40% - Акцент3 13" xfId="1370" xr:uid="{00000000-0005-0000-0000-000059050000}"/>
    <cellStyle name="40% - Акцент3 13 2" xfId="1371" xr:uid="{00000000-0005-0000-0000-00005A050000}"/>
    <cellStyle name="40% - Акцент3 13 3" xfId="1372" xr:uid="{00000000-0005-0000-0000-00005B050000}"/>
    <cellStyle name="40% - Акцент3 13 4" xfId="1373" xr:uid="{00000000-0005-0000-0000-00005C050000}"/>
    <cellStyle name="40% - Акцент3 13 5" xfId="1374" xr:uid="{00000000-0005-0000-0000-00005D050000}"/>
    <cellStyle name="40% - Акцент3 13 6" xfId="1375" xr:uid="{00000000-0005-0000-0000-00005E050000}"/>
    <cellStyle name="40% - Акцент3 14" xfId="1376" xr:uid="{00000000-0005-0000-0000-00005F050000}"/>
    <cellStyle name="40% - Акцент3 14 2" xfId="1377" xr:uid="{00000000-0005-0000-0000-000060050000}"/>
    <cellStyle name="40% - Акцент3 14 3" xfId="1378" xr:uid="{00000000-0005-0000-0000-000061050000}"/>
    <cellStyle name="40% - Акцент3 14 4" xfId="1379" xr:uid="{00000000-0005-0000-0000-000062050000}"/>
    <cellStyle name="40% - Акцент3 14 5" xfId="1380" xr:uid="{00000000-0005-0000-0000-000063050000}"/>
    <cellStyle name="40% - Акцент3 14 6" xfId="1381" xr:uid="{00000000-0005-0000-0000-000064050000}"/>
    <cellStyle name="40% - Акцент3 15" xfId="1382" xr:uid="{00000000-0005-0000-0000-000065050000}"/>
    <cellStyle name="40% - Акцент3 15 2" xfId="1383" xr:uid="{00000000-0005-0000-0000-000066050000}"/>
    <cellStyle name="40% - Акцент3 15 3" xfId="1384" xr:uid="{00000000-0005-0000-0000-000067050000}"/>
    <cellStyle name="40% - Акцент3 15 4" xfId="1385" xr:uid="{00000000-0005-0000-0000-000068050000}"/>
    <cellStyle name="40% - Акцент3 15 5" xfId="1386" xr:uid="{00000000-0005-0000-0000-000069050000}"/>
    <cellStyle name="40% - Акцент3 15 6" xfId="1387" xr:uid="{00000000-0005-0000-0000-00006A050000}"/>
    <cellStyle name="40% - Акцент3 2" xfId="1388" xr:uid="{00000000-0005-0000-0000-00006B050000}"/>
    <cellStyle name="40% - Акцент3 2 10" xfId="1389" xr:uid="{00000000-0005-0000-0000-00006C050000}"/>
    <cellStyle name="40% - Акцент3 2 10 2" xfId="1390" xr:uid="{00000000-0005-0000-0000-00006D050000}"/>
    <cellStyle name="40% - Акцент3 2 10 3" xfId="1391" xr:uid="{00000000-0005-0000-0000-00006E050000}"/>
    <cellStyle name="40% - Акцент3 2 10 4" xfId="1392" xr:uid="{00000000-0005-0000-0000-00006F050000}"/>
    <cellStyle name="40% - Акцент3 2 10 5" xfId="1393" xr:uid="{00000000-0005-0000-0000-000070050000}"/>
    <cellStyle name="40% - Акцент3 2 10 6" xfId="1394" xr:uid="{00000000-0005-0000-0000-000071050000}"/>
    <cellStyle name="40% - Акцент3 2 11" xfId="1395" xr:uid="{00000000-0005-0000-0000-000072050000}"/>
    <cellStyle name="40% - Акцент3 2 11 2" xfId="1396" xr:uid="{00000000-0005-0000-0000-000073050000}"/>
    <cellStyle name="40% - Акцент3 2 11 3" xfId="1397" xr:uid="{00000000-0005-0000-0000-000074050000}"/>
    <cellStyle name="40% - Акцент3 2 11 4" xfId="1398" xr:uid="{00000000-0005-0000-0000-000075050000}"/>
    <cellStyle name="40% - Акцент3 2 11 5" xfId="1399" xr:uid="{00000000-0005-0000-0000-000076050000}"/>
    <cellStyle name="40% - Акцент3 2 11 6" xfId="1400" xr:uid="{00000000-0005-0000-0000-000077050000}"/>
    <cellStyle name="40% - Акцент3 2 12" xfId="1401" xr:uid="{00000000-0005-0000-0000-000078050000}"/>
    <cellStyle name="40% - Акцент3 2 12 2" xfId="1402" xr:uid="{00000000-0005-0000-0000-000079050000}"/>
    <cellStyle name="40% - Акцент3 2 12 3" xfId="1403" xr:uid="{00000000-0005-0000-0000-00007A050000}"/>
    <cellStyle name="40% - Акцент3 2 12 4" xfId="1404" xr:uid="{00000000-0005-0000-0000-00007B050000}"/>
    <cellStyle name="40% - Акцент3 2 12 5" xfId="1405" xr:uid="{00000000-0005-0000-0000-00007C050000}"/>
    <cellStyle name="40% - Акцент3 2 12 6" xfId="1406" xr:uid="{00000000-0005-0000-0000-00007D050000}"/>
    <cellStyle name="40% - Акцент3 2 13" xfId="1407" xr:uid="{00000000-0005-0000-0000-00007E050000}"/>
    <cellStyle name="40% - Акцент3 2 14" xfId="1408" xr:uid="{00000000-0005-0000-0000-00007F050000}"/>
    <cellStyle name="40% - Акцент3 2 15" xfId="1409" xr:uid="{00000000-0005-0000-0000-000080050000}"/>
    <cellStyle name="40% - Акцент3 2 16" xfId="1410" xr:uid="{00000000-0005-0000-0000-000081050000}"/>
    <cellStyle name="40% - Акцент3 2 17" xfId="1411" xr:uid="{00000000-0005-0000-0000-000082050000}"/>
    <cellStyle name="40% - Акцент3 2 2" xfId="1412" xr:uid="{00000000-0005-0000-0000-000083050000}"/>
    <cellStyle name="40% - Акцент3 2 2 2" xfId="1413" xr:uid="{00000000-0005-0000-0000-000084050000}"/>
    <cellStyle name="40% - Акцент3 2 2 3" xfId="1414" xr:uid="{00000000-0005-0000-0000-000085050000}"/>
    <cellStyle name="40% - Акцент3 2 2 3 2" xfId="1415" xr:uid="{00000000-0005-0000-0000-000086050000}"/>
    <cellStyle name="40% - Акцент3 2 2 4" xfId="1416" xr:uid="{00000000-0005-0000-0000-000087050000}"/>
    <cellStyle name="40% - Акцент3 2 2 5" xfId="1417" xr:uid="{00000000-0005-0000-0000-000088050000}"/>
    <cellStyle name="40% - Акцент3 2 2 6" xfId="1418" xr:uid="{00000000-0005-0000-0000-000089050000}"/>
    <cellStyle name="40% - Акцент3 2 3" xfId="1419" xr:uid="{00000000-0005-0000-0000-00008A050000}"/>
    <cellStyle name="40% - Акцент3 2 3 2" xfId="1420" xr:uid="{00000000-0005-0000-0000-00008B050000}"/>
    <cellStyle name="40% - Акцент3 2 3 2 2" xfId="1421" xr:uid="{00000000-0005-0000-0000-00008C050000}"/>
    <cellStyle name="40% - Акцент3 2 3 3" xfId="1422" xr:uid="{00000000-0005-0000-0000-00008D050000}"/>
    <cellStyle name="40% - Акцент3 2 3 4" xfId="1423" xr:uid="{00000000-0005-0000-0000-00008E050000}"/>
    <cellStyle name="40% - Акцент3 2 3 5" xfId="1424" xr:uid="{00000000-0005-0000-0000-00008F050000}"/>
    <cellStyle name="40% - Акцент3 2 3 6" xfId="1425" xr:uid="{00000000-0005-0000-0000-000090050000}"/>
    <cellStyle name="40% - Акцент3 2 4" xfId="1426" xr:uid="{00000000-0005-0000-0000-000091050000}"/>
    <cellStyle name="40% - Акцент3 2 4 2" xfId="1427" xr:uid="{00000000-0005-0000-0000-000092050000}"/>
    <cellStyle name="40% - Акцент3 2 4 3" xfId="1428" xr:uid="{00000000-0005-0000-0000-000093050000}"/>
    <cellStyle name="40% - Акцент3 2 4 4" xfId="1429" xr:uid="{00000000-0005-0000-0000-000094050000}"/>
    <cellStyle name="40% - Акцент3 2 4 5" xfId="1430" xr:uid="{00000000-0005-0000-0000-000095050000}"/>
    <cellStyle name="40% - Акцент3 2 4 6" xfId="1431" xr:uid="{00000000-0005-0000-0000-000096050000}"/>
    <cellStyle name="40% - Акцент3 2 4 7" xfId="1432" xr:uid="{00000000-0005-0000-0000-000097050000}"/>
    <cellStyle name="40% - Акцент3 2 5" xfId="1433" xr:uid="{00000000-0005-0000-0000-000098050000}"/>
    <cellStyle name="40% - Акцент3 2 5 2" xfId="1434" xr:uid="{00000000-0005-0000-0000-000099050000}"/>
    <cellStyle name="40% - Акцент3 2 5 3" xfId="1435" xr:uid="{00000000-0005-0000-0000-00009A050000}"/>
    <cellStyle name="40% - Акцент3 2 5 4" xfId="1436" xr:uid="{00000000-0005-0000-0000-00009B050000}"/>
    <cellStyle name="40% - Акцент3 2 5 5" xfId="1437" xr:uid="{00000000-0005-0000-0000-00009C050000}"/>
    <cellStyle name="40% - Акцент3 2 5 6" xfId="1438" xr:uid="{00000000-0005-0000-0000-00009D050000}"/>
    <cellStyle name="40% - Акцент3 2 5 7" xfId="1439" xr:uid="{00000000-0005-0000-0000-00009E050000}"/>
    <cellStyle name="40% - Акцент3 2 6" xfId="1440" xr:uid="{00000000-0005-0000-0000-00009F050000}"/>
    <cellStyle name="40% - Акцент3 2 6 2" xfId="1441" xr:uid="{00000000-0005-0000-0000-0000A0050000}"/>
    <cellStyle name="40% - Акцент3 2 6 3" xfId="1442" xr:uid="{00000000-0005-0000-0000-0000A1050000}"/>
    <cellStyle name="40% - Акцент3 2 6 4" xfId="1443" xr:uid="{00000000-0005-0000-0000-0000A2050000}"/>
    <cellStyle name="40% - Акцент3 2 6 5" xfId="1444" xr:uid="{00000000-0005-0000-0000-0000A3050000}"/>
    <cellStyle name="40% - Акцент3 2 6 6" xfId="1445" xr:uid="{00000000-0005-0000-0000-0000A4050000}"/>
    <cellStyle name="40% - Акцент3 2 6 7" xfId="1446" xr:uid="{00000000-0005-0000-0000-0000A5050000}"/>
    <cellStyle name="40% - Акцент3 2 7" xfId="1447" xr:uid="{00000000-0005-0000-0000-0000A6050000}"/>
    <cellStyle name="40% - Акцент3 2 7 2" xfId="1448" xr:uid="{00000000-0005-0000-0000-0000A7050000}"/>
    <cellStyle name="40% - Акцент3 2 7 3" xfId="1449" xr:uid="{00000000-0005-0000-0000-0000A8050000}"/>
    <cellStyle name="40% - Акцент3 2 7 4" xfId="1450" xr:uid="{00000000-0005-0000-0000-0000A9050000}"/>
    <cellStyle name="40% - Акцент3 2 7 5" xfId="1451" xr:uid="{00000000-0005-0000-0000-0000AA050000}"/>
    <cellStyle name="40% - Акцент3 2 7 6" xfId="1452" xr:uid="{00000000-0005-0000-0000-0000AB050000}"/>
    <cellStyle name="40% - Акцент3 2 8" xfId="1453" xr:uid="{00000000-0005-0000-0000-0000AC050000}"/>
    <cellStyle name="40% - Акцент3 2 8 2" xfId="1454" xr:uid="{00000000-0005-0000-0000-0000AD050000}"/>
    <cellStyle name="40% - Акцент3 2 8 3" xfId="1455" xr:uid="{00000000-0005-0000-0000-0000AE050000}"/>
    <cellStyle name="40% - Акцент3 2 8 4" xfId="1456" xr:uid="{00000000-0005-0000-0000-0000AF050000}"/>
    <cellStyle name="40% - Акцент3 2 8 5" xfId="1457" xr:uid="{00000000-0005-0000-0000-0000B0050000}"/>
    <cellStyle name="40% - Акцент3 2 8 6" xfId="1458" xr:uid="{00000000-0005-0000-0000-0000B1050000}"/>
    <cellStyle name="40% - Акцент3 2 9" xfId="1459" xr:uid="{00000000-0005-0000-0000-0000B2050000}"/>
    <cellStyle name="40% - Акцент3 2 9 2" xfId="1460" xr:uid="{00000000-0005-0000-0000-0000B3050000}"/>
    <cellStyle name="40% - Акцент3 2 9 3" xfId="1461" xr:uid="{00000000-0005-0000-0000-0000B4050000}"/>
    <cellStyle name="40% - Акцент3 2 9 4" xfId="1462" xr:uid="{00000000-0005-0000-0000-0000B5050000}"/>
    <cellStyle name="40% - Акцент3 2 9 5" xfId="1463" xr:uid="{00000000-0005-0000-0000-0000B6050000}"/>
    <cellStyle name="40% - Акцент3 2 9 6" xfId="1464" xr:uid="{00000000-0005-0000-0000-0000B7050000}"/>
    <cellStyle name="40% - Акцент3 2_2355 Голубева" xfId="1465" xr:uid="{00000000-0005-0000-0000-0000B8050000}"/>
    <cellStyle name="40% - Акцент3 3" xfId="1466" xr:uid="{00000000-0005-0000-0000-0000B9050000}"/>
    <cellStyle name="40% - Акцент3 3 2" xfId="1467" xr:uid="{00000000-0005-0000-0000-0000BA050000}"/>
    <cellStyle name="40% - Акцент3 3 2 2" xfId="1468" xr:uid="{00000000-0005-0000-0000-0000BB050000}"/>
    <cellStyle name="40% - Акцент3 3 3" xfId="1469" xr:uid="{00000000-0005-0000-0000-0000BC050000}"/>
    <cellStyle name="40% - Акцент3 3 4" xfId="1470" xr:uid="{00000000-0005-0000-0000-0000BD050000}"/>
    <cellStyle name="40% - Акцент3 3 5" xfId="1471" xr:uid="{00000000-0005-0000-0000-0000BE050000}"/>
    <cellStyle name="40% - Акцент3 3 6" xfId="1472" xr:uid="{00000000-0005-0000-0000-0000BF050000}"/>
    <cellStyle name="40% - Акцент3 4" xfId="1473" xr:uid="{00000000-0005-0000-0000-0000C0050000}"/>
    <cellStyle name="40% - Акцент3 4 2" xfId="1474" xr:uid="{00000000-0005-0000-0000-0000C1050000}"/>
    <cellStyle name="40% - Акцент3 4 3" xfId="1475" xr:uid="{00000000-0005-0000-0000-0000C2050000}"/>
    <cellStyle name="40% - Акцент3 4 4" xfId="1476" xr:uid="{00000000-0005-0000-0000-0000C3050000}"/>
    <cellStyle name="40% - Акцент3 4 5" xfId="1477" xr:uid="{00000000-0005-0000-0000-0000C4050000}"/>
    <cellStyle name="40% - Акцент3 4 6" xfId="1478" xr:uid="{00000000-0005-0000-0000-0000C5050000}"/>
    <cellStyle name="40% - Акцент3 4 7" xfId="1479" xr:uid="{00000000-0005-0000-0000-0000C6050000}"/>
    <cellStyle name="40% - Акцент3 5" xfId="1480" xr:uid="{00000000-0005-0000-0000-0000C7050000}"/>
    <cellStyle name="40% - Акцент3 5 2" xfId="1481" xr:uid="{00000000-0005-0000-0000-0000C8050000}"/>
    <cellStyle name="40% - Акцент3 5 3" xfId="1482" xr:uid="{00000000-0005-0000-0000-0000C9050000}"/>
    <cellStyle name="40% - Акцент3 5 4" xfId="1483" xr:uid="{00000000-0005-0000-0000-0000CA050000}"/>
    <cellStyle name="40% - Акцент3 5 5" xfId="1484" xr:uid="{00000000-0005-0000-0000-0000CB050000}"/>
    <cellStyle name="40% - Акцент3 5 6" xfId="1485" xr:uid="{00000000-0005-0000-0000-0000CC050000}"/>
    <cellStyle name="40% - Акцент3 5 7" xfId="1486" xr:uid="{00000000-0005-0000-0000-0000CD050000}"/>
    <cellStyle name="40% - Акцент3 6" xfId="1487" xr:uid="{00000000-0005-0000-0000-0000CE050000}"/>
    <cellStyle name="40% - Акцент3 6 2" xfId="1488" xr:uid="{00000000-0005-0000-0000-0000CF050000}"/>
    <cellStyle name="40% - Акцент3 6 3" xfId="1489" xr:uid="{00000000-0005-0000-0000-0000D0050000}"/>
    <cellStyle name="40% - Акцент3 6 4" xfId="1490" xr:uid="{00000000-0005-0000-0000-0000D1050000}"/>
    <cellStyle name="40% - Акцент3 6 5" xfId="1491" xr:uid="{00000000-0005-0000-0000-0000D2050000}"/>
    <cellStyle name="40% - Акцент3 6 6" xfId="1492" xr:uid="{00000000-0005-0000-0000-0000D3050000}"/>
    <cellStyle name="40% - Акцент3 6 7" xfId="1493" xr:uid="{00000000-0005-0000-0000-0000D4050000}"/>
    <cellStyle name="40% - Акцент3 7" xfId="1494" xr:uid="{00000000-0005-0000-0000-0000D5050000}"/>
    <cellStyle name="40% - Акцент3 7 2" xfId="1495" xr:uid="{00000000-0005-0000-0000-0000D6050000}"/>
    <cellStyle name="40% - Акцент3 7 3" xfId="1496" xr:uid="{00000000-0005-0000-0000-0000D7050000}"/>
    <cellStyle name="40% - Акцент3 7 4" xfId="1497" xr:uid="{00000000-0005-0000-0000-0000D8050000}"/>
    <cellStyle name="40% - Акцент3 7 5" xfId="1498" xr:uid="{00000000-0005-0000-0000-0000D9050000}"/>
    <cellStyle name="40% - Акцент3 7 6" xfId="1499" xr:uid="{00000000-0005-0000-0000-0000DA050000}"/>
    <cellStyle name="40% - Акцент3 7 7" xfId="1500" xr:uid="{00000000-0005-0000-0000-0000DB050000}"/>
    <cellStyle name="40% - Акцент3 8" xfId="1501" xr:uid="{00000000-0005-0000-0000-0000DC050000}"/>
    <cellStyle name="40% - Акцент3 8 2" xfId="1502" xr:uid="{00000000-0005-0000-0000-0000DD050000}"/>
    <cellStyle name="40% - Акцент3 8 3" xfId="1503" xr:uid="{00000000-0005-0000-0000-0000DE050000}"/>
    <cellStyle name="40% - Акцент3 8 4" xfId="1504" xr:uid="{00000000-0005-0000-0000-0000DF050000}"/>
    <cellStyle name="40% - Акцент3 8 5" xfId="1505" xr:uid="{00000000-0005-0000-0000-0000E0050000}"/>
    <cellStyle name="40% - Акцент3 8 6" xfId="1506" xr:uid="{00000000-0005-0000-0000-0000E1050000}"/>
    <cellStyle name="40% - Акцент3 8 7" xfId="1507" xr:uid="{00000000-0005-0000-0000-0000E2050000}"/>
    <cellStyle name="40% - Акцент3 9" xfId="1508" xr:uid="{00000000-0005-0000-0000-0000E3050000}"/>
    <cellStyle name="40% - Акцент3 9 2" xfId="1509" xr:uid="{00000000-0005-0000-0000-0000E4050000}"/>
    <cellStyle name="40% - Акцент3 9 3" xfId="1510" xr:uid="{00000000-0005-0000-0000-0000E5050000}"/>
    <cellStyle name="40% - Акцент3 9 4" xfId="1511" xr:uid="{00000000-0005-0000-0000-0000E6050000}"/>
    <cellStyle name="40% - Акцент3 9 5" xfId="1512" xr:uid="{00000000-0005-0000-0000-0000E7050000}"/>
    <cellStyle name="40% - Акцент3 9 6" xfId="1513" xr:uid="{00000000-0005-0000-0000-0000E8050000}"/>
    <cellStyle name="40% - Акцент3 9 7" xfId="1514" xr:uid="{00000000-0005-0000-0000-0000E9050000}"/>
    <cellStyle name="40% - Акцент4 10" xfId="1515" xr:uid="{00000000-0005-0000-0000-0000EA050000}"/>
    <cellStyle name="40% - Акцент4 10 2" xfId="1516" xr:uid="{00000000-0005-0000-0000-0000EB050000}"/>
    <cellStyle name="40% - Акцент4 10 3" xfId="1517" xr:uid="{00000000-0005-0000-0000-0000EC050000}"/>
    <cellStyle name="40% - Акцент4 10 4" xfId="1518" xr:uid="{00000000-0005-0000-0000-0000ED050000}"/>
    <cellStyle name="40% - Акцент4 10 5" xfId="1519" xr:uid="{00000000-0005-0000-0000-0000EE050000}"/>
    <cellStyle name="40% - Акцент4 10 6" xfId="1520" xr:uid="{00000000-0005-0000-0000-0000EF050000}"/>
    <cellStyle name="40% - Акцент4 11" xfId="1521" xr:uid="{00000000-0005-0000-0000-0000F0050000}"/>
    <cellStyle name="40% - Акцент4 11 2" xfId="1522" xr:uid="{00000000-0005-0000-0000-0000F1050000}"/>
    <cellStyle name="40% - Акцент4 11 3" xfId="1523" xr:uid="{00000000-0005-0000-0000-0000F2050000}"/>
    <cellStyle name="40% - Акцент4 11 4" xfId="1524" xr:uid="{00000000-0005-0000-0000-0000F3050000}"/>
    <cellStyle name="40% - Акцент4 11 5" xfId="1525" xr:uid="{00000000-0005-0000-0000-0000F4050000}"/>
    <cellStyle name="40% - Акцент4 11 6" xfId="1526" xr:uid="{00000000-0005-0000-0000-0000F5050000}"/>
    <cellStyle name="40% - Акцент4 12" xfId="1527" xr:uid="{00000000-0005-0000-0000-0000F6050000}"/>
    <cellStyle name="40% - Акцент4 12 2" xfId="1528" xr:uid="{00000000-0005-0000-0000-0000F7050000}"/>
    <cellStyle name="40% - Акцент4 12 3" xfId="1529" xr:uid="{00000000-0005-0000-0000-0000F8050000}"/>
    <cellStyle name="40% - Акцент4 12 4" xfId="1530" xr:uid="{00000000-0005-0000-0000-0000F9050000}"/>
    <cellStyle name="40% - Акцент4 12 5" xfId="1531" xr:uid="{00000000-0005-0000-0000-0000FA050000}"/>
    <cellStyle name="40% - Акцент4 12 6" xfId="1532" xr:uid="{00000000-0005-0000-0000-0000FB050000}"/>
    <cellStyle name="40% - Акцент4 13" xfId="1533" xr:uid="{00000000-0005-0000-0000-0000FC050000}"/>
    <cellStyle name="40% - Акцент4 13 2" xfId="1534" xr:uid="{00000000-0005-0000-0000-0000FD050000}"/>
    <cellStyle name="40% - Акцент4 13 3" xfId="1535" xr:uid="{00000000-0005-0000-0000-0000FE050000}"/>
    <cellStyle name="40% - Акцент4 13 4" xfId="1536" xr:uid="{00000000-0005-0000-0000-0000FF050000}"/>
    <cellStyle name="40% - Акцент4 13 5" xfId="1537" xr:uid="{00000000-0005-0000-0000-000000060000}"/>
    <cellStyle name="40% - Акцент4 13 6" xfId="1538" xr:uid="{00000000-0005-0000-0000-000001060000}"/>
    <cellStyle name="40% - Акцент4 14" xfId="1539" xr:uid="{00000000-0005-0000-0000-000002060000}"/>
    <cellStyle name="40% - Акцент4 14 2" xfId="1540" xr:uid="{00000000-0005-0000-0000-000003060000}"/>
    <cellStyle name="40% - Акцент4 14 3" xfId="1541" xr:uid="{00000000-0005-0000-0000-000004060000}"/>
    <cellStyle name="40% - Акцент4 14 4" xfId="1542" xr:uid="{00000000-0005-0000-0000-000005060000}"/>
    <cellStyle name="40% - Акцент4 14 5" xfId="1543" xr:uid="{00000000-0005-0000-0000-000006060000}"/>
    <cellStyle name="40% - Акцент4 14 6" xfId="1544" xr:uid="{00000000-0005-0000-0000-000007060000}"/>
    <cellStyle name="40% - Акцент4 15" xfId="1545" xr:uid="{00000000-0005-0000-0000-000008060000}"/>
    <cellStyle name="40% - Акцент4 15 2" xfId="1546" xr:uid="{00000000-0005-0000-0000-000009060000}"/>
    <cellStyle name="40% - Акцент4 15 3" xfId="1547" xr:uid="{00000000-0005-0000-0000-00000A060000}"/>
    <cellStyle name="40% - Акцент4 15 4" xfId="1548" xr:uid="{00000000-0005-0000-0000-00000B060000}"/>
    <cellStyle name="40% - Акцент4 15 5" xfId="1549" xr:uid="{00000000-0005-0000-0000-00000C060000}"/>
    <cellStyle name="40% - Акцент4 15 6" xfId="1550" xr:uid="{00000000-0005-0000-0000-00000D060000}"/>
    <cellStyle name="40% - Акцент4 2" xfId="1551" xr:uid="{00000000-0005-0000-0000-00000E060000}"/>
    <cellStyle name="40% - Акцент4 2 10" xfId="1552" xr:uid="{00000000-0005-0000-0000-00000F060000}"/>
    <cellStyle name="40% - Акцент4 2 10 2" xfId="1553" xr:uid="{00000000-0005-0000-0000-000010060000}"/>
    <cellStyle name="40% - Акцент4 2 10 3" xfId="1554" xr:uid="{00000000-0005-0000-0000-000011060000}"/>
    <cellStyle name="40% - Акцент4 2 10 4" xfId="1555" xr:uid="{00000000-0005-0000-0000-000012060000}"/>
    <cellStyle name="40% - Акцент4 2 10 5" xfId="1556" xr:uid="{00000000-0005-0000-0000-000013060000}"/>
    <cellStyle name="40% - Акцент4 2 10 6" xfId="1557" xr:uid="{00000000-0005-0000-0000-000014060000}"/>
    <cellStyle name="40% - Акцент4 2 11" xfId="1558" xr:uid="{00000000-0005-0000-0000-000015060000}"/>
    <cellStyle name="40% - Акцент4 2 11 2" xfId="1559" xr:uid="{00000000-0005-0000-0000-000016060000}"/>
    <cellStyle name="40% - Акцент4 2 11 3" xfId="1560" xr:uid="{00000000-0005-0000-0000-000017060000}"/>
    <cellStyle name="40% - Акцент4 2 11 4" xfId="1561" xr:uid="{00000000-0005-0000-0000-000018060000}"/>
    <cellStyle name="40% - Акцент4 2 11 5" xfId="1562" xr:uid="{00000000-0005-0000-0000-000019060000}"/>
    <cellStyle name="40% - Акцент4 2 11 6" xfId="1563" xr:uid="{00000000-0005-0000-0000-00001A060000}"/>
    <cellStyle name="40% - Акцент4 2 12" xfId="1564" xr:uid="{00000000-0005-0000-0000-00001B060000}"/>
    <cellStyle name="40% - Акцент4 2 12 2" xfId="1565" xr:uid="{00000000-0005-0000-0000-00001C060000}"/>
    <cellStyle name="40% - Акцент4 2 12 3" xfId="1566" xr:uid="{00000000-0005-0000-0000-00001D060000}"/>
    <cellStyle name="40% - Акцент4 2 12 4" xfId="1567" xr:uid="{00000000-0005-0000-0000-00001E060000}"/>
    <cellStyle name="40% - Акцент4 2 12 5" xfId="1568" xr:uid="{00000000-0005-0000-0000-00001F060000}"/>
    <cellStyle name="40% - Акцент4 2 12 6" xfId="1569" xr:uid="{00000000-0005-0000-0000-000020060000}"/>
    <cellStyle name="40% - Акцент4 2 13" xfId="1570" xr:uid="{00000000-0005-0000-0000-000021060000}"/>
    <cellStyle name="40% - Акцент4 2 14" xfId="1571" xr:uid="{00000000-0005-0000-0000-000022060000}"/>
    <cellStyle name="40% - Акцент4 2 15" xfId="1572" xr:uid="{00000000-0005-0000-0000-000023060000}"/>
    <cellStyle name="40% - Акцент4 2 16" xfId="1573" xr:uid="{00000000-0005-0000-0000-000024060000}"/>
    <cellStyle name="40% - Акцент4 2 17" xfId="1574" xr:uid="{00000000-0005-0000-0000-000025060000}"/>
    <cellStyle name="40% - Акцент4 2 2" xfId="1575" xr:uid="{00000000-0005-0000-0000-000026060000}"/>
    <cellStyle name="40% - Акцент4 2 2 2" xfId="1576" xr:uid="{00000000-0005-0000-0000-000027060000}"/>
    <cellStyle name="40% - Акцент4 2 2 3" xfId="1577" xr:uid="{00000000-0005-0000-0000-000028060000}"/>
    <cellStyle name="40% - Акцент4 2 2 3 2" xfId="1578" xr:uid="{00000000-0005-0000-0000-000029060000}"/>
    <cellStyle name="40% - Акцент4 2 2 4" xfId="1579" xr:uid="{00000000-0005-0000-0000-00002A060000}"/>
    <cellStyle name="40% - Акцент4 2 2 5" xfId="1580" xr:uid="{00000000-0005-0000-0000-00002B060000}"/>
    <cellStyle name="40% - Акцент4 2 2 6" xfId="1581" xr:uid="{00000000-0005-0000-0000-00002C060000}"/>
    <cellStyle name="40% - Акцент4 2 3" xfId="1582" xr:uid="{00000000-0005-0000-0000-00002D060000}"/>
    <cellStyle name="40% - Акцент4 2 3 2" xfId="1583" xr:uid="{00000000-0005-0000-0000-00002E060000}"/>
    <cellStyle name="40% - Акцент4 2 3 2 2" xfId="1584" xr:uid="{00000000-0005-0000-0000-00002F060000}"/>
    <cellStyle name="40% - Акцент4 2 3 3" xfId="1585" xr:uid="{00000000-0005-0000-0000-000030060000}"/>
    <cellStyle name="40% - Акцент4 2 3 4" xfId="1586" xr:uid="{00000000-0005-0000-0000-000031060000}"/>
    <cellStyle name="40% - Акцент4 2 3 5" xfId="1587" xr:uid="{00000000-0005-0000-0000-000032060000}"/>
    <cellStyle name="40% - Акцент4 2 3 6" xfId="1588" xr:uid="{00000000-0005-0000-0000-000033060000}"/>
    <cellStyle name="40% - Акцент4 2 4" xfId="1589" xr:uid="{00000000-0005-0000-0000-000034060000}"/>
    <cellStyle name="40% - Акцент4 2 4 2" xfId="1590" xr:uid="{00000000-0005-0000-0000-000035060000}"/>
    <cellStyle name="40% - Акцент4 2 4 3" xfId="1591" xr:uid="{00000000-0005-0000-0000-000036060000}"/>
    <cellStyle name="40% - Акцент4 2 4 4" xfId="1592" xr:uid="{00000000-0005-0000-0000-000037060000}"/>
    <cellStyle name="40% - Акцент4 2 4 5" xfId="1593" xr:uid="{00000000-0005-0000-0000-000038060000}"/>
    <cellStyle name="40% - Акцент4 2 4 6" xfId="1594" xr:uid="{00000000-0005-0000-0000-000039060000}"/>
    <cellStyle name="40% - Акцент4 2 4 7" xfId="1595" xr:uid="{00000000-0005-0000-0000-00003A060000}"/>
    <cellStyle name="40% - Акцент4 2 5" xfId="1596" xr:uid="{00000000-0005-0000-0000-00003B060000}"/>
    <cellStyle name="40% - Акцент4 2 5 2" xfId="1597" xr:uid="{00000000-0005-0000-0000-00003C060000}"/>
    <cellStyle name="40% - Акцент4 2 5 3" xfId="1598" xr:uid="{00000000-0005-0000-0000-00003D060000}"/>
    <cellStyle name="40% - Акцент4 2 5 4" xfId="1599" xr:uid="{00000000-0005-0000-0000-00003E060000}"/>
    <cellStyle name="40% - Акцент4 2 5 5" xfId="1600" xr:uid="{00000000-0005-0000-0000-00003F060000}"/>
    <cellStyle name="40% - Акцент4 2 5 6" xfId="1601" xr:uid="{00000000-0005-0000-0000-000040060000}"/>
    <cellStyle name="40% - Акцент4 2 5 7" xfId="1602" xr:uid="{00000000-0005-0000-0000-000041060000}"/>
    <cellStyle name="40% - Акцент4 2 6" xfId="1603" xr:uid="{00000000-0005-0000-0000-000042060000}"/>
    <cellStyle name="40% - Акцент4 2 6 2" xfId="1604" xr:uid="{00000000-0005-0000-0000-000043060000}"/>
    <cellStyle name="40% - Акцент4 2 6 3" xfId="1605" xr:uid="{00000000-0005-0000-0000-000044060000}"/>
    <cellStyle name="40% - Акцент4 2 6 4" xfId="1606" xr:uid="{00000000-0005-0000-0000-000045060000}"/>
    <cellStyle name="40% - Акцент4 2 6 5" xfId="1607" xr:uid="{00000000-0005-0000-0000-000046060000}"/>
    <cellStyle name="40% - Акцент4 2 6 6" xfId="1608" xr:uid="{00000000-0005-0000-0000-000047060000}"/>
    <cellStyle name="40% - Акцент4 2 6 7" xfId="1609" xr:uid="{00000000-0005-0000-0000-000048060000}"/>
    <cellStyle name="40% - Акцент4 2 7" xfId="1610" xr:uid="{00000000-0005-0000-0000-000049060000}"/>
    <cellStyle name="40% - Акцент4 2 7 2" xfId="1611" xr:uid="{00000000-0005-0000-0000-00004A060000}"/>
    <cellStyle name="40% - Акцент4 2 7 3" xfId="1612" xr:uid="{00000000-0005-0000-0000-00004B060000}"/>
    <cellStyle name="40% - Акцент4 2 7 4" xfId="1613" xr:uid="{00000000-0005-0000-0000-00004C060000}"/>
    <cellStyle name="40% - Акцент4 2 7 5" xfId="1614" xr:uid="{00000000-0005-0000-0000-00004D060000}"/>
    <cellStyle name="40% - Акцент4 2 7 6" xfId="1615" xr:uid="{00000000-0005-0000-0000-00004E060000}"/>
    <cellStyle name="40% - Акцент4 2 8" xfId="1616" xr:uid="{00000000-0005-0000-0000-00004F060000}"/>
    <cellStyle name="40% - Акцент4 2 8 2" xfId="1617" xr:uid="{00000000-0005-0000-0000-000050060000}"/>
    <cellStyle name="40% - Акцент4 2 8 3" xfId="1618" xr:uid="{00000000-0005-0000-0000-000051060000}"/>
    <cellStyle name="40% - Акцент4 2 8 4" xfId="1619" xr:uid="{00000000-0005-0000-0000-000052060000}"/>
    <cellStyle name="40% - Акцент4 2 8 5" xfId="1620" xr:uid="{00000000-0005-0000-0000-000053060000}"/>
    <cellStyle name="40% - Акцент4 2 8 6" xfId="1621" xr:uid="{00000000-0005-0000-0000-000054060000}"/>
    <cellStyle name="40% - Акцент4 2 9" xfId="1622" xr:uid="{00000000-0005-0000-0000-000055060000}"/>
    <cellStyle name="40% - Акцент4 2 9 2" xfId="1623" xr:uid="{00000000-0005-0000-0000-000056060000}"/>
    <cellStyle name="40% - Акцент4 2 9 3" xfId="1624" xr:uid="{00000000-0005-0000-0000-000057060000}"/>
    <cellStyle name="40% - Акцент4 2 9 4" xfId="1625" xr:uid="{00000000-0005-0000-0000-000058060000}"/>
    <cellStyle name="40% - Акцент4 2 9 5" xfId="1626" xr:uid="{00000000-0005-0000-0000-000059060000}"/>
    <cellStyle name="40% - Акцент4 2 9 6" xfId="1627" xr:uid="{00000000-0005-0000-0000-00005A060000}"/>
    <cellStyle name="40% - Акцент4 2_2355 Голубева" xfId="1628" xr:uid="{00000000-0005-0000-0000-00005B060000}"/>
    <cellStyle name="40% - Акцент4 3" xfId="1629" xr:uid="{00000000-0005-0000-0000-00005C060000}"/>
    <cellStyle name="40% - Акцент4 3 2" xfId="1630" xr:uid="{00000000-0005-0000-0000-00005D060000}"/>
    <cellStyle name="40% - Акцент4 3 2 2" xfId="1631" xr:uid="{00000000-0005-0000-0000-00005E060000}"/>
    <cellStyle name="40% - Акцент4 3 3" xfId="1632" xr:uid="{00000000-0005-0000-0000-00005F060000}"/>
    <cellStyle name="40% - Акцент4 3 4" xfId="1633" xr:uid="{00000000-0005-0000-0000-000060060000}"/>
    <cellStyle name="40% - Акцент4 3 5" xfId="1634" xr:uid="{00000000-0005-0000-0000-000061060000}"/>
    <cellStyle name="40% - Акцент4 3 6" xfId="1635" xr:uid="{00000000-0005-0000-0000-000062060000}"/>
    <cellStyle name="40% - Акцент4 4" xfId="1636" xr:uid="{00000000-0005-0000-0000-000063060000}"/>
    <cellStyle name="40% - Акцент4 4 2" xfId="1637" xr:uid="{00000000-0005-0000-0000-000064060000}"/>
    <cellStyle name="40% - Акцент4 4 3" xfId="1638" xr:uid="{00000000-0005-0000-0000-000065060000}"/>
    <cellStyle name="40% - Акцент4 4 4" xfId="1639" xr:uid="{00000000-0005-0000-0000-000066060000}"/>
    <cellStyle name="40% - Акцент4 4 5" xfId="1640" xr:uid="{00000000-0005-0000-0000-000067060000}"/>
    <cellStyle name="40% - Акцент4 4 6" xfId="1641" xr:uid="{00000000-0005-0000-0000-000068060000}"/>
    <cellStyle name="40% - Акцент4 4 7" xfId="1642" xr:uid="{00000000-0005-0000-0000-000069060000}"/>
    <cellStyle name="40% - Акцент4 5" xfId="1643" xr:uid="{00000000-0005-0000-0000-00006A060000}"/>
    <cellStyle name="40% - Акцент4 5 2" xfId="1644" xr:uid="{00000000-0005-0000-0000-00006B060000}"/>
    <cellStyle name="40% - Акцент4 5 3" xfId="1645" xr:uid="{00000000-0005-0000-0000-00006C060000}"/>
    <cellStyle name="40% - Акцент4 5 4" xfId="1646" xr:uid="{00000000-0005-0000-0000-00006D060000}"/>
    <cellStyle name="40% - Акцент4 5 5" xfId="1647" xr:uid="{00000000-0005-0000-0000-00006E060000}"/>
    <cellStyle name="40% - Акцент4 5 6" xfId="1648" xr:uid="{00000000-0005-0000-0000-00006F060000}"/>
    <cellStyle name="40% - Акцент4 5 7" xfId="1649" xr:uid="{00000000-0005-0000-0000-000070060000}"/>
    <cellStyle name="40% - Акцент4 6" xfId="1650" xr:uid="{00000000-0005-0000-0000-000071060000}"/>
    <cellStyle name="40% - Акцент4 6 2" xfId="1651" xr:uid="{00000000-0005-0000-0000-000072060000}"/>
    <cellStyle name="40% - Акцент4 6 3" xfId="1652" xr:uid="{00000000-0005-0000-0000-000073060000}"/>
    <cellStyle name="40% - Акцент4 6 4" xfId="1653" xr:uid="{00000000-0005-0000-0000-000074060000}"/>
    <cellStyle name="40% - Акцент4 6 5" xfId="1654" xr:uid="{00000000-0005-0000-0000-000075060000}"/>
    <cellStyle name="40% - Акцент4 6 6" xfId="1655" xr:uid="{00000000-0005-0000-0000-000076060000}"/>
    <cellStyle name="40% - Акцент4 6 7" xfId="1656" xr:uid="{00000000-0005-0000-0000-000077060000}"/>
    <cellStyle name="40% - Акцент4 7" xfId="1657" xr:uid="{00000000-0005-0000-0000-000078060000}"/>
    <cellStyle name="40% - Акцент4 7 2" xfId="1658" xr:uid="{00000000-0005-0000-0000-000079060000}"/>
    <cellStyle name="40% - Акцент4 7 3" xfId="1659" xr:uid="{00000000-0005-0000-0000-00007A060000}"/>
    <cellStyle name="40% - Акцент4 7 4" xfId="1660" xr:uid="{00000000-0005-0000-0000-00007B060000}"/>
    <cellStyle name="40% - Акцент4 7 5" xfId="1661" xr:uid="{00000000-0005-0000-0000-00007C060000}"/>
    <cellStyle name="40% - Акцент4 7 6" xfId="1662" xr:uid="{00000000-0005-0000-0000-00007D060000}"/>
    <cellStyle name="40% - Акцент4 7 7" xfId="1663" xr:uid="{00000000-0005-0000-0000-00007E060000}"/>
    <cellStyle name="40% - Акцент4 8" xfId="1664" xr:uid="{00000000-0005-0000-0000-00007F060000}"/>
    <cellStyle name="40% - Акцент4 8 2" xfId="1665" xr:uid="{00000000-0005-0000-0000-000080060000}"/>
    <cellStyle name="40% - Акцент4 8 3" xfId="1666" xr:uid="{00000000-0005-0000-0000-000081060000}"/>
    <cellStyle name="40% - Акцент4 8 4" xfId="1667" xr:uid="{00000000-0005-0000-0000-000082060000}"/>
    <cellStyle name="40% - Акцент4 8 5" xfId="1668" xr:uid="{00000000-0005-0000-0000-000083060000}"/>
    <cellStyle name="40% - Акцент4 8 6" xfId="1669" xr:uid="{00000000-0005-0000-0000-000084060000}"/>
    <cellStyle name="40% - Акцент4 8 7" xfId="1670" xr:uid="{00000000-0005-0000-0000-000085060000}"/>
    <cellStyle name="40% - Акцент4 9" xfId="1671" xr:uid="{00000000-0005-0000-0000-000086060000}"/>
    <cellStyle name="40% - Акцент4 9 2" xfId="1672" xr:uid="{00000000-0005-0000-0000-000087060000}"/>
    <cellStyle name="40% - Акцент4 9 3" xfId="1673" xr:uid="{00000000-0005-0000-0000-000088060000}"/>
    <cellStyle name="40% - Акцент4 9 4" xfId="1674" xr:uid="{00000000-0005-0000-0000-000089060000}"/>
    <cellStyle name="40% - Акцент4 9 5" xfId="1675" xr:uid="{00000000-0005-0000-0000-00008A060000}"/>
    <cellStyle name="40% - Акцент4 9 6" xfId="1676" xr:uid="{00000000-0005-0000-0000-00008B060000}"/>
    <cellStyle name="40% - Акцент4 9 7" xfId="1677" xr:uid="{00000000-0005-0000-0000-00008C060000}"/>
    <cellStyle name="40% - Акцент5 10" xfId="1678" xr:uid="{00000000-0005-0000-0000-00008D060000}"/>
    <cellStyle name="40% - Акцент5 10 2" xfId="1679" xr:uid="{00000000-0005-0000-0000-00008E060000}"/>
    <cellStyle name="40% - Акцент5 10 3" xfId="1680" xr:uid="{00000000-0005-0000-0000-00008F060000}"/>
    <cellStyle name="40% - Акцент5 10 4" xfId="1681" xr:uid="{00000000-0005-0000-0000-000090060000}"/>
    <cellStyle name="40% - Акцент5 10 5" xfId="1682" xr:uid="{00000000-0005-0000-0000-000091060000}"/>
    <cellStyle name="40% - Акцент5 10 6" xfId="1683" xr:uid="{00000000-0005-0000-0000-000092060000}"/>
    <cellStyle name="40% - Акцент5 11" xfId="1684" xr:uid="{00000000-0005-0000-0000-000093060000}"/>
    <cellStyle name="40% - Акцент5 11 2" xfId="1685" xr:uid="{00000000-0005-0000-0000-000094060000}"/>
    <cellStyle name="40% - Акцент5 11 3" xfId="1686" xr:uid="{00000000-0005-0000-0000-000095060000}"/>
    <cellStyle name="40% - Акцент5 11 4" xfId="1687" xr:uid="{00000000-0005-0000-0000-000096060000}"/>
    <cellStyle name="40% - Акцент5 11 5" xfId="1688" xr:uid="{00000000-0005-0000-0000-000097060000}"/>
    <cellStyle name="40% - Акцент5 11 6" xfId="1689" xr:uid="{00000000-0005-0000-0000-000098060000}"/>
    <cellStyle name="40% - Акцент5 12" xfId="1690" xr:uid="{00000000-0005-0000-0000-000099060000}"/>
    <cellStyle name="40% - Акцент5 12 2" xfId="1691" xr:uid="{00000000-0005-0000-0000-00009A060000}"/>
    <cellStyle name="40% - Акцент5 12 3" xfId="1692" xr:uid="{00000000-0005-0000-0000-00009B060000}"/>
    <cellStyle name="40% - Акцент5 12 4" xfId="1693" xr:uid="{00000000-0005-0000-0000-00009C060000}"/>
    <cellStyle name="40% - Акцент5 12 5" xfId="1694" xr:uid="{00000000-0005-0000-0000-00009D060000}"/>
    <cellStyle name="40% - Акцент5 12 6" xfId="1695" xr:uid="{00000000-0005-0000-0000-00009E060000}"/>
    <cellStyle name="40% - Акцент5 13" xfId="1696" xr:uid="{00000000-0005-0000-0000-00009F060000}"/>
    <cellStyle name="40% - Акцент5 13 2" xfId="1697" xr:uid="{00000000-0005-0000-0000-0000A0060000}"/>
    <cellStyle name="40% - Акцент5 13 3" xfId="1698" xr:uid="{00000000-0005-0000-0000-0000A1060000}"/>
    <cellStyle name="40% - Акцент5 13 4" xfId="1699" xr:uid="{00000000-0005-0000-0000-0000A2060000}"/>
    <cellStyle name="40% - Акцент5 13 5" xfId="1700" xr:uid="{00000000-0005-0000-0000-0000A3060000}"/>
    <cellStyle name="40% - Акцент5 13 6" xfId="1701" xr:uid="{00000000-0005-0000-0000-0000A4060000}"/>
    <cellStyle name="40% - Акцент5 14" xfId="1702" xr:uid="{00000000-0005-0000-0000-0000A5060000}"/>
    <cellStyle name="40% - Акцент5 14 2" xfId="1703" xr:uid="{00000000-0005-0000-0000-0000A6060000}"/>
    <cellStyle name="40% - Акцент5 14 3" xfId="1704" xr:uid="{00000000-0005-0000-0000-0000A7060000}"/>
    <cellStyle name="40% - Акцент5 14 4" xfId="1705" xr:uid="{00000000-0005-0000-0000-0000A8060000}"/>
    <cellStyle name="40% - Акцент5 14 5" xfId="1706" xr:uid="{00000000-0005-0000-0000-0000A9060000}"/>
    <cellStyle name="40% - Акцент5 14 6" xfId="1707" xr:uid="{00000000-0005-0000-0000-0000AA060000}"/>
    <cellStyle name="40% - Акцент5 15" xfId="1708" xr:uid="{00000000-0005-0000-0000-0000AB060000}"/>
    <cellStyle name="40% - Акцент5 15 2" xfId="1709" xr:uid="{00000000-0005-0000-0000-0000AC060000}"/>
    <cellStyle name="40% - Акцент5 15 3" xfId="1710" xr:uid="{00000000-0005-0000-0000-0000AD060000}"/>
    <cellStyle name="40% - Акцент5 15 4" xfId="1711" xr:uid="{00000000-0005-0000-0000-0000AE060000}"/>
    <cellStyle name="40% - Акцент5 15 5" xfId="1712" xr:uid="{00000000-0005-0000-0000-0000AF060000}"/>
    <cellStyle name="40% - Акцент5 15 6" xfId="1713" xr:uid="{00000000-0005-0000-0000-0000B0060000}"/>
    <cellStyle name="40% - Акцент5 2" xfId="1714" xr:uid="{00000000-0005-0000-0000-0000B1060000}"/>
    <cellStyle name="40% - Акцент5 2 10" xfId="1715" xr:uid="{00000000-0005-0000-0000-0000B2060000}"/>
    <cellStyle name="40% - Акцент5 2 10 2" xfId="1716" xr:uid="{00000000-0005-0000-0000-0000B3060000}"/>
    <cellStyle name="40% - Акцент5 2 10 3" xfId="1717" xr:uid="{00000000-0005-0000-0000-0000B4060000}"/>
    <cellStyle name="40% - Акцент5 2 10 4" xfId="1718" xr:uid="{00000000-0005-0000-0000-0000B5060000}"/>
    <cellStyle name="40% - Акцент5 2 10 5" xfId="1719" xr:uid="{00000000-0005-0000-0000-0000B6060000}"/>
    <cellStyle name="40% - Акцент5 2 10 6" xfId="1720" xr:uid="{00000000-0005-0000-0000-0000B7060000}"/>
    <cellStyle name="40% - Акцент5 2 11" xfId="1721" xr:uid="{00000000-0005-0000-0000-0000B8060000}"/>
    <cellStyle name="40% - Акцент5 2 11 2" xfId="1722" xr:uid="{00000000-0005-0000-0000-0000B9060000}"/>
    <cellStyle name="40% - Акцент5 2 11 3" xfId="1723" xr:uid="{00000000-0005-0000-0000-0000BA060000}"/>
    <cellStyle name="40% - Акцент5 2 11 4" xfId="1724" xr:uid="{00000000-0005-0000-0000-0000BB060000}"/>
    <cellStyle name="40% - Акцент5 2 11 5" xfId="1725" xr:uid="{00000000-0005-0000-0000-0000BC060000}"/>
    <cellStyle name="40% - Акцент5 2 11 6" xfId="1726" xr:uid="{00000000-0005-0000-0000-0000BD060000}"/>
    <cellStyle name="40% - Акцент5 2 12" xfId="1727" xr:uid="{00000000-0005-0000-0000-0000BE060000}"/>
    <cellStyle name="40% - Акцент5 2 12 2" xfId="1728" xr:uid="{00000000-0005-0000-0000-0000BF060000}"/>
    <cellStyle name="40% - Акцент5 2 12 3" xfId="1729" xr:uid="{00000000-0005-0000-0000-0000C0060000}"/>
    <cellStyle name="40% - Акцент5 2 12 4" xfId="1730" xr:uid="{00000000-0005-0000-0000-0000C1060000}"/>
    <cellStyle name="40% - Акцент5 2 12 5" xfId="1731" xr:uid="{00000000-0005-0000-0000-0000C2060000}"/>
    <cellStyle name="40% - Акцент5 2 12 6" xfId="1732" xr:uid="{00000000-0005-0000-0000-0000C3060000}"/>
    <cellStyle name="40% - Акцент5 2 13" xfId="1733" xr:uid="{00000000-0005-0000-0000-0000C4060000}"/>
    <cellStyle name="40% - Акцент5 2 14" xfId="1734" xr:uid="{00000000-0005-0000-0000-0000C5060000}"/>
    <cellStyle name="40% - Акцент5 2 15" xfId="1735" xr:uid="{00000000-0005-0000-0000-0000C6060000}"/>
    <cellStyle name="40% - Акцент5 2 16" xfId="1736" xr:uid="{00000000-0005-0000-0000-0000C7060000}"/>
    <cellStyle name="40% - Акцент5 2 17" xfId="1737" xr:uid="{00000000-0005-0000-0000-0000C8060000}"/>
    <cellStyle name="40% - Акцент5 2 2" xfId="1738" xr:uid="{00000000-0005-0000-0000-0000C9060000}"/>
    <cellStyle name="40% - Акцент5 2 2 2" xfId="1739" xr:uid="{00000000-0005-0000-0000-0000CA060000}"/>
    <cellStyle name="40% - Акцент5 2 2 3" xfId="1740" xr:uid="{00000000-0005-0000-0000-0000CB060000}"/>
    <cellStyle name="40% - Акцент5 2 2 3 2" xfId="1741" xr:uid="{00000000-0005-0000-0000-0000CC060000}"/>
    <cellStyle name="40% - Акцент5 2 2 4" xfId="1742" xr:uid="{00000000-0005-0000-0000-0000CD060000}"/>
    <cellStyle name="40% - Акцент5 2 2 5" xfId="1743" xr:uid="{00000000-0005-0000-0000-0000CE060000}"/>
    <cellStyle name="40% - Акцент5 2 2 6" xfId="1744" xr:uid="{00000000-0005-0000-0000-0000CF060000}"/>
    <cellStyle name="40% - Акцент5 2 3" xfId="1745" xr:uid="{00000000-0005-0000-0000-0000D0060000}"/>
    <cellStyle name="40% - Акцент5 2 3 2" xfId="1746" xr:uid="{00000000-0005-0000-0000-0000D1060000}"/>
    <cellStyle name="40% - Акцент5 2 3 2 2" xfId="1747" xr:uid="{00000000-0005-0000-0000-0000D2060000}"/>
    <cellStyle name="40% - Акцент5 2 3 3" xfId="1748" xr:uid="{00000000-0005-0000-0000-0000D3060000}"/>
    <cellStyle name="40% - Акцент5 2 3 4" xfId="1749" xr:uid="{00000000-0005-0000-0000-0000D4060000}"/>
    <cellStyle name="40% - Акцент5 2 3 5" xfId="1750" xr:uid="{00000000-0005-0000-0000-0000D5060000}"/>
    <cellStyle name="40% - Акцент5 2 3 6" xfId="1751" xr:uid="{00000000-0005-0000-0000-0000D6060000}"/>
    <cellStyle name="40% - Акцент5 2 4" xfId="1752" xr:uid="{00000000-0005-0000-0000-0000D7060000}"/>
    <cellStyle name="40% - Акцент5 2 4 2" xfId="1753" xr:uid="{00000000-0005-0000-0000-0000D8060000}"/>
    <cellStyle name="40% - Акцент5 2 4 3" xfId="1754" xr:uid="{00000000-0005-0000-0000-0000D9060000}"/>
    <cellStyle name="40% - Акцент5 2 4 4" xfId="1755" xr:uid="{00000000-0005-0000-0000-0000DA060000}"/>
    <cellStyle name="40% - Акцент5 2 4 5" xfId="1756" xr:uid="{00000000-0005-0000-0000-0000DB060000}"/>
    <cellStyle name="40% - Акцент5 2 4 6" xfId="1757" xr:uid="{00000000-0005-0000-0000-0000DC060000}"/>
    <cellStyle name="40% - Акцент5 2 4 7" xfId="1758" xr:uid="{00000000-0005-0000-0000-0000DD060000}"/>
    <cellStyle name="40% - Акцент5 2 5" xfId="1759" xr:uid="{00000000-0005-0000-0000-0000DE060000}"/>
    <cellStyle name="40% - Акцент5 2 5 2" xfId="1760" xr:uid="{00000000-0005-0000-0000-0000DF060000}"/>
    <cellStyle name="40% - Акцент5 2 5 3" xfId="1761" xr:uid="{00000000-0005-0000-0000-0000E0060000}"/>
    <cellStyle name="40% - Акцент5 2 5 4" xfId="1762" xr:uid="{00000000-0005-0000-0000-0000E1060000}"/>
    <cellStyle name="40% - Акцент5 2 5 5" xfId="1763" xr:uid="{00000000-0005-0000-0000-0000E2060000}"/>
    <cellStyle name="40% - Акцент5 2 5 6" xfId="1764" xr:uid="{00000000-0005-0000-0000-0000E3060000}"/>
    <cellStyle name="40% - Акцент5 2 5 7" xfId="1765" xr:uid="{00000000-0005-0000-0000-0000E4060000}"/>
    <cellStyle name="40% - Акцент5 2 6" xfId="1766" xr:uid="{00000000-0005-0000-0000-0000E5060000}"/>
    <cellStyle name="40% - Акцент5 2 6 2" xfId="1767" xr:uid="{00000000-0005-0000-0000-0000E6060000}"/>
    <cellStyle name="40% - Акцент5 2 6 3" xfId="1768" xr:uid="{00000000-0005-0000-0000-0000E7060000}"/>
    <cellStyle name="40% - Акцент5 2 6 4" xfId="1769" xr:uid="{00000000-0005-0000-0000-0000E8060000}"/>
    <cellStyle name="40% - Акцент5 2 6 5" xfId="1770" xr:uid="{00000000-0005-0000-0000-0000E9060000}"/>
    <cellStyle name="40% - Акцент5 2 6 6" xfId="1771" xr:uid="{00000000-0005-0000-0000-0000EA060000}"/>
    <cellStyle name="40% - Акцент5 2 6 7" xfId="1772" xr:uid="{00000000-0005-0000-0000-0000EB060000}"/>
    <cellStyle name="40% - Акцент5 2 7" xfId="1773" xr:uid="{00000000-0005-0000-0000-0000EC060000}"/>
    <cellStyle name="40% - Акцент5 2 7 2" xfId="1774" xr:uid="{00000000-0005-0000-0000-0000ED060000}"/>
    <cellStyle name="40% - Акцент5 2 7 3" xfId="1775" xr:uid="{00000000-0005-0000-0000-0000EE060000}"/>
    <cellStyle name="40% - Акцент5 2 7 4" xfId="1776" xr:uid="{00000000-0005-0000-0000-0000EF060000}"/>
    <cellStyle name="40% - Акцент5 2 7 5" xfId="1777" xr:uid="{00000000-0005-0000-0000-0000F0060000}"/>
    <cellStyle name="40% - Акцент5 2 7 6" xfId="1778" xr:uid="{00000000-0005-0000-0000-0000F1060000}"/>
    <cellStyle name="40% - Акцент5 2 8" xfId="1779" xr:uid="{00000000-0005-0000-0000-0000F2060000}"/>
    <cellStyle name="40% - Акцент5 2 8 2" xfId="1780" xr:uid="{00000000-0005-0000-0000-0000F3060000}"/>
    <cellStyle name="40% - Акцент5 2 8 3" xfId="1781" xr:uid="{00000000-0005-0000-0000-0000F4060000}"/>
    <cellStyle name="40% - Акцент5 2 8 4" xfId="1782" xr:uid="{00000000-0005-0000-0000-0000F5060000}"/>
    <cellStyle name="40% - Акцент5 2 8 5" xfId="1783" xr:uid="{00000000-0005-0000-0000-0000F6060000}"/>
    <cellStyle name="40% - Акцент5 2 8 6" xfId="1784" xr:uid="{00000000-0005-0000-0000-0000F7060000}"/>
    <cellStyle name="40% - Акцент5 2 9" xfId="1785" xr:uid="{00000000-0005-0000-0000-0000F8060000}"/>
    <cellStyle name="40% - Акцент5 2 9 2" xfId="1786" xr:uid="{00000000-0005-0000-0000-0000F9060000}"/>
    <cellStyle name="40% - Акцент5 2 9 3" xfId="1787" xr:uid="{00000000-0005-0000-0000-0000FA060000}"/>
    <cellStyle name="40% - Акцент5 2 9 4" xfId="1788" xr:uid="{00000000-0005-0000-0000-0000FB060000}"/>
    <cellStyle name="40% - Акцент5 2 9 5" xfId="1789" xr:uid="{00000000-0005-0000-0000-0000FC060000}"/>
    <cellStyle name="40% - Акцент5 2 9 6" xfId="1790" xr:uid="{00000000-0005-0000-0000-0000FD060000}"/>
    <cellStyle name="40% - Акцент5 2_2355 Голубева" xfId="1791" xr:uid="{00000000-0005-0000-0000-0000FE060000}"/>
    <cellStyle name="40% - Акцент5 3" xfId="1792" xr:uid="{00000000-0005-0000-0000-0000FF060000}"/>
    <cellStyle name="40% - Акцент5 3 2" xfId="1793" xr:uid="{00000000-0005-0000-0000-000000070000}"/>
    <cellStyle name="40% - Акцент5 3 2 2" xfId="1794" xr:uid="{00000000-0005-0000-0000-000001070000}"/>
    <cellStyle name="40% - Акцент5 3 3" xfId="1795" xr:uid="{00000000-0005-0000-0000-000002070000}"/>
    <cellStyle name="40% - Акцент5 3 4" xfId="1796" xr:uid="{00000000-0005-0000-0000-000003070000}"/>
    <cellStyle name="40% - Акцент5 3 5" xfId="1797" xr:uid="{00000000-0005-0000-0000-000004070000}"/>
    <cellStyle name="40% - Акцент5 3 6" xfId="1798" xr:uid="{00000000-0005-0000-0000-000005070000}"/>
    <cellStyle name="40% - Акцент5 4" xfId="1799" xr:uid="{00000000-0005-0000-0000-000006070000}"/>
    <cellStyle name="40% - Акцент5 4 2" xfId="1800" xr:uid="{00000000-0005-0000-0000-000007070000}"/>
    <cellStyle name="40% - Акцент5 4 3" xfId="1801" xr:uid="{00000000-0005-0000-0000-000008070000}"/>
    <cellStyle name="40% - Акцент5 4 4" xfId="1802" xr:uid="{00000000-0005-0000-0000-000009070000}"/>
    <cellStyle name="40% - Акцент5 4 5" xfId="1803" xr:uid="{00000000-0005-0000-0000-00000A070000}"/>
    <cellStyle name="40% - Акцент5 4 6" xfId="1804" xr:uid="{00000000-0005-0000-0000-00000B070000}"/>
    <cellStyle name="40% - Акцент5 4 7" xfId="1805" xr:uid="{00000000-0005-0000-0000-00000C070000}"/>
    <cellStyle name="40% - Акцент5 5" xfId="1806" xr:uid="{00000000-0005-0000-0000-00000D070000}"/>
    <cellStyle name="40% - Акцент5 5 2" xfId="1807" xr:uid="{00000000-0005-0000-0000-00000E070000}"/>
    <cellStyle name="40% - Акцент5 5 3" xfId="1808" xr:uid="{00000000-0005-0000-0000-00000F070000}"/>
    <cellStyle name="40% - Акцент5 5 4" xfId="1809" xr:uid="{00000000-0005-0000-0000-000010070000}"/>
    <cellStyle name="40% - Акцент5 5 5" xfId="1810" xr:uid="{00000000-0005-0000-0000-000011070000}"/>
    <cellStyle name="40% - Акцент5 5 6" xfId="1811" xr:uid="{00000000-0005-0000-0000-000012070000}"/>
    <cellStyle name="40% - Акцент5 5 7" xfId="1812" xr:uid="{00000000-0005-0000-0000-000013070000}"/>
    <cellStyle name="40% - Акцент5 6" xfId="1813" xr:uid="{00000000-0005-0000-0000-000014070000}"/>
    <cellStyle name="40% - Акцент5 6 2" xfId="1814" xr:uid="{00000000-0005-0000-0000-000015070000}"/>
    <cellStyle name="40% - Акцент5 6 3" xfId="1815" xr:uid="{00000000-0005-0000-0000-000016070000}"/>
    <cellStyle name="40% - Акцент5 6 4" xfId="1816" xr:uid="{00000000-0005-0000-0000-000017070000}"/>
    <cellStyle name="40% - Акцент5 6 5" xfId="1817" xr:uid="{00000000-0005-0000-0000-000018070000}"/>
    <cellStyle name="40% - Акцент5 6 6" xfId="1818" xr:uid="{00000000-0005-0000-0000-000019070000}"/>
    <cellStyle name="40% - Акцент5 6 7" xfId="1819" xr:uid="{00000000-0005-0000-0000-00001A070000}"/>
    <cellStyle name="40% - Акцент5 7" xfId="1820" xr:uid="{00000000-0005-0000-0000-00001B070000}"/>
    <cellStyle name="40% - Акцент5 7 2" xfId="1821" xr:uid="{00000000-0005-0000-0000-00001C070000}"/>
    <cellStyle name="40% - Акцент5 7 3" xfId="1822" xr:uid="{00000000-0005-0000-0000-00001D070000}"/>
    <cellStyle name="40% - Акцент5 7 4" xfId="1823" xr:uid="{00000000-0005-0000-0000-00001E070000}"/>
    <cellStyle name="40% - Акцент5 7 5" xfId="1824" xr:uid="{00000000-0005-0000-0000-00001F070000}"/>
    <cellStyle name="40% - Акцент5 7 6" xfId="1825" xr:uid="{00000000-0005-0000-0000-000020070000}"/>
    <cellStyle name="40% - Акцент5 7 7" xfId="1826" xr:uid="{00000000-0005-0000-0000-000021070000}"/>
    <cellStyle name="40% - Акцент5 8" xfId="1827" xr:uid="{00000000-0005-0000-0000-000022070000}"/>
    <cellStyle name="40% - Акцент5 8 2" xfId="1828" xr:uid="{00000000-0005-0000-0000-000023070000}"/>
    <cellStyle name="40% - Акцент5 8 3" xfId="1829" xr:uid="{00000000-0005-0000-0000-000024070000}"/>
    <cellStyle name="40% - Акцент5 8 4" xfId="1830" xr:uid="{00000000-0005-0000-0000-000025070000}"/>
    <cellStyle name="40% - Акцент5 8 5" xfId="1831" xr:uid="{00000000-0005-0000-0000-000026070000}"/>
    <cellStyle name="40% - Акцент5 8 6" xfId="1832" xr:uid="{00000000-0005-0000-0000-000027070000}"/>
    <cellStyle name="40% - Акцент5 8 7" xfId="1833" xr:uid="{00000000-0005-0000-0000-000028070000}"/>
    <cellStyle name="40% - Акцент5 9" xfId="1834" xr:uid="{00000000-0005-0000-0000-000029070000}"/>
    <cellStyle name="40% - Акцент5 9 2" xfId="1835" xr:uid="{00000000-0005-0000-0000-00002A070000}"/>
    <cellStyle name="40% - Акцент5 9 3" xfId="1836" xr:uid="{00000000-0005-0000-0000-00002B070000}"/>
    <cellStyle name="40% - Акцент5 9 4" xfId="1837" xr:uid="{00000000-0005-0000-0000-00002C070000}"/>
    <cellStyle name="40% - Акцент5 9 5" xfId="1838" xr:uid="{00000000-0005-0000-0000-00002D070000}"/>
    <cellStyle name="40% - Акцент5 9 6" xfId="1839" xr:uid="{00000000-0005-0000-0000-00002E070000}"/>
    <cellStyle name="40% - Акцент5 9 7" xfId="1840" xr:uid="{00000000-0005-0000-0000-00002F070000}"/>
    <cellStyle name="40% - Акцент6 10" xfId="1841" xr:uid="{00000000-0005-0000-0000-000030070000}"/>
    <cellStyle name="40% - Акцент6 10 2" xfId="1842" xr:uid="{00000000-0005-0000-0000-000031070000}"/>
    <cellStyle name="40% - Акцент6 10 3" xfId="1843" xr:uid="{00000000-0005-0000-0000-000032070000}"/>
    <cellStyle name="40% - Акцент6 10 4" xfId="1844" xr:uid="{00000000-0005-0000-0000-000033070000}"/>
    <cellStyle name="40% - Акцент6 10 5" xfId="1845" xr:uid="{00000000-0005-0000-0000-000034070000}"/>
    <cellStyle name="40% - Акцент6 10 6" xfId="1846" xr:uid="{00000000-0005-0000-0000-000035070000}"/>
    <cellStyle name="40% - Акцент6 11" xfId="1847" xr:uid="{00000000-0005-0000-0000-000036070000}"/>
    <cellStyle name="40% - Акцент6 11 2" xfId="1848" xr:uid="{00000000-0005-0000-0000-000037070000}"/>
    <cellStyle name="40% - Акцент6 11 3" xfId="1849" xr:uid="{00000000-0005-0000-0000-000038070000}"/>
    <cellStyle name="40% - Акцент6 11 4" xfId="1850" xr:uid="{00000000-0005-0000-0000-000039070000}"/>
    <cellStyle name="40% - Акцент6 11 5" xfId="1851" xr:uid="{00000000-0005-0000-0000-00003A070000}"/>
    <cellStyle name="40% - Акцент6 11 6" xfId="1852" xr:uid="{00000000-0005-0000-0000-00003B070000}"/>
    <cellStyle name="40% - Акцент6 12" xfId="1853" xr:uid="{00000000-0005-0000-0000-00003C070000}"/>
    <cellStyle name="40% - Акцент6 12 2" xfId="1854" xr:uid="{00000000-0005-0000-0000-00003D070000}"/>
    <cellStyle name="40% - Акцент6 12 3" xfId="1855" xr:uid="{00000000-0005-0000-0000-00003E070000}"/>
    <cellStyle name="40% - Акцент6 12 4" xfId="1856" xr:uid="{00000000-0005-0000-0000-00003F070000}"/>
    <cellStyle name="40% - Акцент6 12 5" xfId="1857" xr:uid="{00000000-0005-0000-0000-000040070000}"/>
    <cellStyle name="40% - Акцент6 12 6" xfId="1858" xr:uid="{00000000-0005-0000-0000-000041070000}"/>
    <cellStyle name="40% - Акцент6 13" xfId="1859" xr:uid="{00000000-0005-0000-0000-000042070000}"/>
    <cellStyle name="40% - Акцент6 13 2" xfId="1860" xr:uid="{00000000-0005-0000-0000-000043070000}"/>
    <cellStyle name="40% - Акцент6 13 3" xfId="1861" xr:uid="{00000000-0005-0000-0000-000044070000}"/>
    <cellStyle name="40% - Акцент6 13 4" xfId="1862" xr:uid="{00000000-0005-0000-0000-000045070000}"/>
    <cellStyle name="40% - Акцент6 13 5" xfId="1863" xr:uid="{00000000-0005-0000-0000-000046070000}"/>
    <cellStyle name="40% - Акцент6 13 6" xfId="1864" xr:uid="{00000000-0005-0000-0000-000047070000}"/>
    <cellStyle name="40% - Акцент6 14" xfId="1865" xr:uid="{00000000-0005-0000-0000-000048070000}"/>
    <cellStyle name="40% - Акцент6 14 2" xfId="1866" xr:uid="{00000000-0005-0000-0000-000049070000}"/>
    <cellStyle name="40% - Акцент6 14 3" xfId="1867" xr:uid="{00000000-0005-0000-0000-00004A070000}"/>
    <cellStyle name="40% - Акцент6 14 4" xfId="1868" xr:uid="{00000000-0005-0000-0000-00004B070000}"/>
    <cellStyle name="40% - Акцент6 14 5" xfId="1869" xr:uid="{00000000-0005-0000-0000-00004C070000}"/>
    <cellStyle name="40% - Акцент6 14 6" xfId="1870" xr:uid="{00000000-0005-0000-0000-00004D070000}"/>
    <cellStyle name="40% - Акцент6 15" xfId="1871" xr:uid="{00000000-0005-0000-0000-00004E070000}"/>
    <cellStyle name="40% - Акцент6 15 2" xfId="1872" xr:uid="{00000000-0005-0000-0000-00004F070000}"/>
    <cellStyle name="40% - Акцент6 15 3" xfId="1873" xr:uid="{00000000-0005-0000-0000-000050070000}"/>
    <cellStyle name="40% - Акцент6 15 4" xfId="1874" xr:uid="{00000000-0005-0000-0000-000051070000}"/>
    <cellStyle name="40% - Акцент6 15 5" xfId="1875" xr:uid="{00000000-0005-0000-0000-000052070000}"/>
    <cellStyle name="40% - Акцент6 15 6" xfId="1876" xr:uid="{00000000-0005-0000-0000-000053070000}"/>
    <cellStyle name="40% - Акцент6 2" xfId="1877" xr:uid="{00000000-0005-0000-0000-000054070000}"/>
    <cellStyle name="40% - Акцент6 2 10" xfId="1878" xr:uid="{00000000-0005-0000-0000-000055070000}"/>
    <cellStyle name="40% - Акцент6 2 10 2" xfId="1879" xr:uid="{00000000-0005-0000-0000-000056070000}"/>
    <cellStyle name="40% - Акцент6 2 10 3" xfId="1880" xr:uid="{00000000-0005-0000-0000-000057070000}"/>
    <cellStyle name="40% - Акцент6 2 10 4" xfId="1881" xr:uid="{00000000-0005-0000-0000-000058070000}"/>
    <cellStyle name="40% - Акцент6 2 10 5" xfId="1882" xr:uid="{00000000-0005-0000-0000-000059070000}"/>
    <cellStyle name="40% - Акцент6 2 10 6" xfId="1883" xr:uid="{00000000-0005-0000-0000-00005A070000}"/>
    <cellStyle name="40% - Акцент6 2 11" xfId="1884" xr:uid="{00000000-0005-0000-0000-00005B070000}"/>
    <cellStyle name="40% - Акцент6 2 11 2" xfId="1885" xr:uid="{00000000-0005-0000-0000-00005C070000}"/>
    <cellStyle name="40% - Акцент6 2 11 3" xfId="1886" xr:uid="{00000000-0005-0000-0000-00005D070000}"/>
    <cellStyle name="40% - Акцент6 2 11 4" xfId="1887" xr:uid="{00000000-0005-0000-0000-00005E070000}"/>
    <cellStyle name="40% - Акцент6 2 11 5" xfId="1888" xr:uid="{00000000-0005-0000-0000-00005F070000}"/>
    <cellStyle name="40% - Акцент6 2 11 6" xfId="1889" xr:uid="{00000000-0005-0000-0000-000060070000}"/>
    <cellStyle name="40% - Акцент6 2 12" xfId="1890" xr:uid="{00000000-0005-0000-0000-000061070000}"/>
    <cellStyle name="40% - Акцент6 2 12 2" xfId="1891" xr:uid="{00000000-0005-0000-0000-000062070000}"/>
    <cellStyle name="40% - Акцент6 2 12 3" xfId="1892" xr:uid="{00000000-0005-0000-0000-000063070000}"/>
    <cellStyle name="40% - Акцент6 2 12 4" xfId="1893" xr:uid="{00000000-0005-0000-0000-000064070000}"/>
    <cellStyle name="40% - Акцент6 2 12 5" xfId="1894" xr:uid="{00000000-0005-0000-0000-000065070000}"/>
    <cellStyle name="40% - Акцент6 2 12 6" xfId="1895" xr:uid="{00000000-0005-0000-0000-000066070000}"/>
    <cellStyle name="40% - Акцент6 2 13" xfId="1896" xr:uid="{00000000-0005-0000-0000-000067070000}"/>
    <cellStyle name="40% - Акцент6 2 14" xfId="1897" xr:uid="{00000000-0005-0000-0000-000068070000}"/>
    <cellStyle name="40% - Акцент6 2 15" xfId="1898" xr:uid="{00000000-0005-0000-0000-000069070000}"/>
    <cellStyle name="40% - Акцент6 2 16" xfId="1899" xr:uid="{00000000-0005-0000-0000-00006A070000}"/>
    <cellStyle name="40% - Акцент6 2 17" xfId="1900" xr:uid="{00000000-0005-0000-0000-00006B070000}"/>
    <cellStyle name="40% - Акцент6 2 2" xfId="1901" xr:uid="{00000000-0005-0000-0000-00006C070000}"/>
    <cellStyle name="40% - Акцент6 2 2 2" xfId="1902" xr:uid="{00000000-0005-0000-0000-00006D070000}"/>
    <cellStyle name="40% - Акцент6 2 2 3" xfId="1903" xr:uid="{00000000-0005-0000-0000-00006E070000}"/>
    <cellStyle name="40% - Акцент6 2 2 3 2" xfId="1904" xr:uid="{00000000-0005-0000-0000-00006F070000}"/>
    <cellStyle name="40% - Акцент6 2 2 4" xfId="1905" xr:uid="{00000000-0005-0000-0000-000070070000}"/>
    <cellStyle name="40% - Акцент6 2 2 5" xfId="1906" xr:uid="{00000000-0005-0000-0000-000071070000}"/>
    <cellStyle name="40% - Акцент6 2 2 6" xfId="1907" xr:uid="{00000000-0005-0000-0000-000072070000}"/>
    <cellStyle name="40% - Акцент6 2 3" xfId="1908" xr:uid="{00000000-0005-0000-0000-000073070000}"/>
    <cellStyle name="40% - Акцент6 2 3 2" xfId="1909" xr:uid="{00000000-0005-0000-0000-000074070000}"/>
    <cellStyle name="40% - Акцент6 2 3 2 2" xfId="1910" xr:uid="{00000000-0005-0000-0000-000075070000}"/>
    <cellStyle name="40% - Акцент6 2 3 3" xfId="1911" xr:uid="{00000000-0005-0000-0000-000076070000}"/>
    <cellStyle name="40% - Акцент6 2 3 4" xfId="1912" xr:uid="{00000000-0005-0000-0000-000077070000}"/>
    <cellStyle name="40% - Акцент6 2 3 5" xfId="1913" xr:uid="{00000000-0005-0000-0000-000078070000}"/>
    <cellStyle name="40% - Акцент6 2 3 6" xfId="1914" xr:uid="{00000000-0005-0000-0000-000079070000}"/>
    <cellStyle name="40% - Акцент6 2 4" xfId="1915" xr:uid="{00000000-0005-0000-0000-00007A070000}"/>
    <cellStyle name="40% - Акцент6 2 4 2" xfId="1916" xr:uid="{00000000-0005-0000-0000-00007B070000}"/>
    <cellStyle name="40% - Акцент6 2 4 3" xfId="1917" xr:uid="{00000000-0005-0000-0000-00007C070000}"/>
    <cellStyle name="40% - Акцент6 2 4 4" xfId="1918" xr:uid="{00000000-0005-0000-0000-00007D070000}"/>
    <cellStyle name="40% - Акцент6 2 4 5" xfId="1919" xr:uid="{00000000-0005-0000-0000-00007E070000}"/>
    <cellStyle name="40% - Акцент6 2 4 6" xfId="1920" xr:uid="{00000000-0005-0000-0000-00007F070000}"/>
    <cellStyle name="40% - Акцент6 2 4 7" xfId="1921" xr:uid="{00000000-0005-0000-0000-000080070000}"/>
    <cellStyle name="40% - Акцент6 2 5" xfId="1922" xr:uid="{00000000-0005-0000-0000-000081070000}"/>
    <cellStyle name="40% - Акцент6 2 5 2" xfId="1923" xr:uid="{00000000-0005-0000-0000-000082070000}"/>
    <cellStyle name="40% - Акцент6 2 5 3" xfId="1924" xr:uid="{00000000-0005-0000-0000-000083070000}"/>
    <cellStyle name="40% - Акцент6 2 5 4" xfId="1925" xr:uid="{00000000-0005-0000-0000-000084070000}"/>
    <cellStyle name="40% - Акцент6 2 5 5" xfId="1926" xr:uid="{00000000-0005-0000-0000-000085070000}"/>
    <cellStyle name="40% - Акцент6 2 5 6" xfId="1927" xr:uid="{00000000-0005-0000-0000-000086070000}"/>
    <cellStyle name="40% - Акцент6 2 5 7" xfId="1928" xr:uid="{00000000-0005-0000-0000-000087070000}"/>
    <cellStyle name="40% - Акцент6 2 6" xfId="1929" xr:uid="{00000000-0005-0000-0000-000088070000}"/>
    <cellStyle name="40% - Акцент6 2 6 2" xfId="1930" xr:uid="{00000000-0005-0000-0000-000089070000}"/>
    <cellStyle name="40% - Акцент6 2 6 3" xfId="1931" xr:uid="{00000000-0005-0000-0000-00008A070000}"/>
    <cellStyle name="40% - Акцент6 2 6 4" xfId="1932" xr:uid="{00000000-0005-0000-0000-00008B070000}"/>
    <cellStyle name="40% - Акцент6 2 6 5" xfId="1933" xr:uid="{00000000-0005-0000-0000-00008C070000}"/>
    <cellStyle name="40% - Акцент6 2 6 6" xfId="1934" xr:uid="{00000000-0005-0000-0000-00008D070000}"/>
    <cellStyle name="40% - Акцент6 2 6 7" xfId="1935" xr:uid="{00000000-0005-0000-0000-00008E070000}"/>
    <cellStyle name="40% - Акцент6 2 7" xfId="1936" xr:uid="{00000000-0005-0000-0000-00008F070000}"/>
    <cellStyle name="40% - Акцент6 2 7 2" xfId="1937" xr:uid="{00000000-0005-0000-0000-000090070000}"/>
    <cellStyle name="40% - Акцент6 2 7 3" xfId="1938" xr:uid="{00000000-0005-0000-0000-000091070000}"/>
    <cellStyle name="40% - Акцент6 2 7 4" xfId="1939" xr:uid="{00000000-0005-0000-0000-000092070000}"/>
    <cellStyle name="40% - Акцент6 2 7 5" xfId="1940" xr:uid="{00000000-0005-0000-0000-000093070000}"/>
    <cellStyle name="40% - Акцент6 2 7 6" xfId="1941" xr:uid="{00000000-0005-0000-0000-000094070000}"/>
    <cellStyle name="40% - Акцент6 2 8" xfId="1942" xr:uid="{00000000-0005-0000-0000-000095070000}"/>
    <cellStyle name="40% - Акцент6 2 8 2" xfId="1943" xr:uid="{00000000-0005-0000-0000-000096070000}"/>
    <cellStyle name="40% - Акцент6 2 8 3" xfId="1944" xr:uid="{00000000-0005-0000-0000-000097070000}"/>
    <cellStyle name="40% - Акцент6 2 8 4" xfId="1945" xr:uid="{00000000-0005-0000-0000-000098070000}"/>
    <cellStyle name="40% - Акцент6 2 8 5" xfId="1946" xr:uid="{00000000-0005-0000-0000-000099070000}"/>
    <cellStyle name="40% - Акцент6 2 8 6" xfId="1947" xr:uid="{00000000-0005-0000-0000-00009A070000}"/>
    <cellStyle name="40% - Акцент6 2 9" xfId="1948" xr:uid="{00000000-0005-0000-0000-00009B070000}"/>
    <cellStyle name="40% - Акцент6 2 9 2" xfId="1949" xr:uid="{00000000-0005-0000-0000-00009C070000}"/>
    <cellStyle name="40% - Акцент6 2 9 3" xfId="1950" xr:uid="{00000000-0005-0000-0000-00009D070000}"/>
    <cellStyle name="40% - Акцент6 2 9 4" xfId="1951" xr:uid="{00000000-0005-0000-0000-00009E070000}"/>
    <cellStyle name="40% - Акцент6 2 9 5" xfId="1952" xr:uid="{00000000-0005-0000-0000-00009F070000}"/>
    <cellStyle name="40% - Акцент6 2 9 6" xfId="1953" xr:uid="{00000000-0005-0000-0000-0000A0070000}"/>
    <cellStyle name="40% - Акцент6 2_2355 Голубева" xfId="1954" xr:uid="{00000000-0005-0000-0000-0000A1070000}"/>
    <cellStyle name="40% - Акцент6 3" xfId="1955" xr:uid="{00000000-0005-0000-0000-0000A2070000}"/>
    <cellStyle name="40% - Акцент6 3 2" xfId="1956" xr:uid="{00000000-0005-0000-0000-0000A3070000}"/>
    <cellStyle name="40% - Акцент6 3 2 2" xfId="1957" xr:uid="{00000000-0005-0000-0000-0000A4070000}"/>
    <cellStyle name="40% - Акцент6 3 3" xfId="1958" xr:uid="{00000000-0005-0000-0000-0000A5070000}"/>
    <cellStyle name="40% - Акцент6 3 4" xfId="1959" xr:uid="{00000000-0005-0000-0000-0000A6070000}"/>
    <cellStyle name="40% - Акцент6 3 5" xfId="1960" xr:uid="{00000000-0005-0000-0000-0000A7070000}"/>
    <cellStyle name="40% - Акцент6 3 6" xfId="1961" xr:uid="{00000000-0005-0000-0000-0000A8070000}"/>
    <cellStyle name="40% - Акцент6 4" xfId="1962" xr:uid="{00000000-0005-0000-0000-0000A9070000}"/>
    <cellStyle name="40% - Акцент6 4 2" xfId="1963" xr:uid="{00000000-0005-0000-0000-0000AA070000}"/>
    <cellStyle name="40% - Акцент6 4 3" xfId="1964" xr:uid="{00000000-0005-0000-0000-0000AB070000}"/>
    <cellStyle name="40% - Акцент6 4 4" xfId="1965" xr:uid="{00000000-0005-0000-0000-0000AC070000}"/>
    <cellStyle name="40% - Акцент6 4 5" xfId="1966" xr:uid="{00000000-0005-0000-0000-0000AD070000}"/>
    <cellStyle name="40% - Акцент6 4 6" xfId="1967" xr:uid="{00000000-0005-0000-0000-0000AE070000}"/>
    <cellStyle name="40% - Акцент6 4 7" xfId="1968" xr:uid="{00000000-0005-0000-0000-0000AF070000}"/>
    <cellStyle name="40% - Акцент6 5" xfId="1969" xr:uid="{00000000-0005-0000-0000-0000B0070000}"/>
    <cellStyle name="40% - Акцент6 5 2" xfId="1970" xr:uid="{00000000-0005-0000-0000-0000B1070000}"/>
    <cellStyle name="40% - Акцент6 5 3" xfId="1971" xr:uid="{00000000-0005-0000-0000-0000B2070000}"/>
    <cellStyle name="40% - Акцент6 5 4" xfId="1972" xr:uid="{00000000-0005-0000-0000-0000B3070000}"/>
    <cellStyle name="40% - Акцент6 5 5" xfId="1973" xr:uid="{00000000-0005-0000-0000-0000B4070000}"/>
    <cellStyle name="40% - Акцент6 5 6" xfId="1974" xr:uid="{00000000-0005-0000-0000-0000B5070000}"/>
    <cellStyle name="40% - Акцент6 5 7" xfId="1975" xr:uid="{00000000-0005-0000-0000-0000B6070000}"/>
    <cellStyle name="40% - Акцент6 6" xfId="1976" xr:uid="{00000000-0005-0000-0000-0000B7070000}"/>
    <cellStyle name="40% - Акцент6 6 2" xfId="1977" xr:uid="{00000000-0005-0000-0000-0000B8070000}"/>
    <cellStyle name="40% - Акцент6 6 3" xfId="1978" xr:uid="{00000000-0005-0000-0000-0000B9070000}"/>
    <cellStyle name="40% - Акцент6 6 4" xfId="1979" xr:uid="{00000000-0005-0000-0000-0000BA070000}"/>
    <cellStyle name="40% - Акцент6 6 5" xfId="1980" xr:uid="{00000000-0005-0000-0000-0000BB070000}"/>
    <cellStyle name="40% - Акцент6 6 6" xfId="1981" xr:uid="{00000000-0005-0000-0000-0000BC070000}"/>
    <cellStyle name="40% - Акцент6 6 7" xfId="1982" xr:uid="{00000000-0005-0000-0000-0000BD070000}"/>
    <cellStyle name="40% - Акцент6 7" xfId="1983" xr:uid="{00000000-0005-0000-0000-0000BE070000}"/>
    <cellStyle name="40% - Акцент6 7 2" xfId="1984" xr:uid="{00000000-0005-0000-0000-0000BF070000}"/>
    <cellStyle name="40% - Акцент6 7 3" xfId="1985" xr:uid="{00000000-0005-0000-0000-0000C0070000}"/>
    <cellStyle name="40% - Акцент6 7 4" xfId="1986" xr:uid="{00000000-0005-0000-0000-0000C1070000}"/>
    <cellStyle name="40% - Акцент6 7 5" xfId="1987" xr:uid="{00000000-0005-0000-0000-0000C2070000}"/>
    <cellStyle name="40% - Акцент6 7 6" xfId="1988" xr:uid="{00000000-0005-0000-0000-0000C3070000}"/>
    <cellStyle name="40% - Акцент6 7 7" xfId="1989" xr:uid="{00000000-0005-0000-0000-0000C4070000}"/>
    <cellStyle name="40% - Акцент6 8" xfId="1990" xr:uid="{00000000-0005-0000-0000-0000C5070000}"/>
    <cellStyle name="40% - Акцент6 8 2" xfId="1991" xr:uid="{00000000-0005-0000-0000-0000C6070000}"/>
    <cellStyle name="40% - Акцент6 8 3" xfId="1992" xr:uid="{00000000-0005-0000-0000-0000C7070000}"/>
    <cellStyle name="40% - Акцент6 8 4" xfId="1993" xr:uid="{00000000-0005-0000-0000-0000C8070000}"/>
    <cellStyle name="40% - Акцент6 8 5" xfId="1994" xr:uid="{00000000-0005-0000-0000-0000C9070000}"/>
    <cellStyle name="40% - Акцент6 8 6" xfId="1995" xr:uid="{00000000-0005-0000-0000-0000CA070000}"/>
    <cellStyle name="40% - Акцент6 8 7" xfId="1996" xr:uid="{00000000-0005-0000-0000-0000CB070000}"/>
    <cellStyle name="40% - Акцент6 9" xfId="1997" xr:uid="{00000000-0005-0000-0000-0000CC070000}"/>
    <cellStyle name="40% - Акцент6 9 2" xfId="1998" xr:uid="{00000000-0005-0000-0000-0000CD070000}"/>
    <cellStyle name="40% - Акцент6 9 3" xfId="1999" xr:uid="{00000000-0005-0000-0000-0000CE070000}"/>
    <cellStyle name="40% - Акцент6 9 4" xfId="2000" xr:uid="{00000000-0005-0000-0000-0000CF070000}"/>
    <cellStyle name="40% - Акцент6 9 5" xfId="2001" xr:uid="{00000000-0005-0000-0000-0000D0070000}"/>
    <cellStyle name="40% - Акцент6 9 6" xfId="2002" xr:uid="{00000000-0005-0000-0000-0000D1070000}"/>
    <cellStyle name="40% - Акцент6 9 7" xfId="2003" xr:uid="{00000000-0005-0000-0000-0000D2070000}"/>
    <cellStyle name="60% - Акцент1 10" xfId="2004" xr:uid="{00000000-0005-0000-0000-0000D3070000}"/>
    <cellStyle name="60% - Акцент1 11" xfId="2005" xr:uid="{00000000-0005-0000-0000-0000D4070000}"/>
    <cellStyle name="60% - Акцент1 12" xfId="2006" xr:uid="{00000000-0005-0000-0000-0000D5070000}"/>
    <cellStyle name="60% - Акцент1 13" xfId="2007" xr:uid="{00000000-0005-0000-0000-0000D6070000}"/>
    <cellStyle name="60% - Акцент1 14" xfId="2008" xr:uid="{00000000-0005-0000-0000-0000D7070000}"/>
    <cellStyle name="60% - Акцент1 15" xfId="2009" xr:uid="{00000000-0005-0000-0000-0000D8070000}"/>
    <cellStyle name="60% - Акцент1 2" xfId="2010" xr:uid="{00000000-0005-0000-0000-0000D9070000}"/>
    <cellStyle name="60% - Акцент1 2 10" xfId="2011" xr:uid="{00000000-0005-0000-0000-0000DA070000}"/>
    <cellStyle name="60% - Акцент1 2 11" xfId="2012" xr:uid="{00000000-0005-0000-0000-0000DB070000}"/>
    <cellStyle name="60% - Акцент1 2 12" xfId="2013" xr:uid="{00000000-0005-0000-0000-0000DC070000}"/>
    <cellStyle name="60% - Акцент1 2 2" xfId="2014" xr:uid="{00000000-0005-0000-0000-0000DD070000}"/>
    <cellStyle name="60% - Акцент1 2 2 2" xfId="2015" xr:uid="{00000000-0005-0000-0000-0000DE070000}"/>
    <cellStyle name="60% - Акцент1 2 3" xfId="2016" xr:uid="{00000000-0005-0000-0000-0000DF070000}"/>
    <cellStyle name="60% - Акцент1 2 3 2" xfId="2017" xr:uid="{00000000-0005-0000-0000-0000E0070000}"/>
    <cellStyle name="60% - Акцент1 2 4" xfId="2018" xr:uid="{00000000-0005-0000-0000-0000E1070000}"/>
    <cellStyle name="60% - Акцент1 2 4 2" xfId="2019" xr:uid="{00000000-0005-0000-0000-0000E2070000}"/>
    <cellStyle name="60% - Акцент1 2 5" xfId="2020" xr:uid="{00000000-0005-0000-0000-0000E3070000}"/>
    <cellStyle name="60% - Акцент1 2 5 2" xfId="2021" xr:uid="{00000000-0005-0000-0000-0000E4070000}"/>
    <cellStyle name="60% - Акцент1 2 6" xfId="2022" xr:uid="{00000000-0005-0000-0000-0000E5070000}"/>
    <cellStyle name="60% - Акцент1 2 6 2" xfId="2023" xr:uid="{00000000-0005-0000-0000-0000E6070000}"/>
    <cellStyle name="60% - Акцент1 2 7" xfId="2024" xr:uid="{00000000-0005-0000-0000-0000E7070000}"/>
    <cellStyle name="60% - Акцент1 2 8" xfId="2025" xr:uid="{00000000-0005-0000-0000-0000E8070000}"/>
    <cellStyle name="60% - Акцент1 2 9" xfId="2026" xr:uid="{00000000-0005-0000-0000-0000E9070000}"/>
    <cellStyle name="60% - Акцент1 3" xfId="2027" xr:uid="{00000000-0005-0000-0000-0000EA070000}"/>
    <cellStyle name="60% - Акцент1 3 2" xfId="2028" xr:uid="{00000000-0005-0000-0000-0000EB070000}"/>
    <cellStyle name="60% - Акцент1 4" xfId="2029" xr:uid="{00000000-0005-0000-0000-0000EC070000}"/>
    <cellStyle name="60% - Акцент1 5" xfId="2030" xr:uid="{00000000-0005-0000-0000-0000ED070000}"/>
    <cellStyle name="60% - Акцент1 6" xfId="2031" xr:uid="{00000000-0005-0000-0000-0000EE070000}"/>
    <cellStyle name="60% - Акцент1 7" xfId="2032" xr:uid="{00000000-0005-0000-0000-0000EF070000}"/>
    <cellStyle name="60% - Акцент1 8" xfId="2033" xr:uid="{00000000-0005-0000-0000-0000F0070000}"/>
    <cellStyle name="60% - Акцент1 9" xfId="2034" xr:uid="{00000000-0005-0000-0000-0000F1070000}"/>
    <cellStyle name="60% - Акцент2 10" xfId="2035" xr:uid="{00000000-0005-0000-0000-0000F2070000}"/>
    <cellStyle name="60% - Акцент2 11" xfId="2036" xr:uid="{00000000-0005-0000-0000-0000F3070000}"/>
    <cellStyle name="60% - Акцент2 12" xfId="2037" xr:uid="{00000000-0005-0000-0000-0000F4070000}"/>
    <cellStyle name="60% - Акцент2 13" xfId="2038" xr:uid="{00000000-0005-0000-0000-0000F5070000}"/>
    <cellStyle name="60% - Акцент2 14" xfId="2039" xr:uid="{00000000-0005-0000-0000-0000F6070000}"/>
    <cellStyle name="60% - Акцент2 15" xfId="2040" xr:uid="{00000000-0005-0000-0000-0000F7070000}"/>
    <cellStyle name="60% - Акцент2 2" xfId="2041" xr:uid="{00000000-0005-0000-0000-0000F8070000}"/>
    <cellStyle name="60% - Акцент2 2 10" xfId="2042" xr:uid="{00000000-0005-0000-0000-0000F9070000}"/>
    <cellStyle name="60% - Акцент2 2 11" xfId="2043" xr:uid="{00000000-0005-0000-0000-0000FA070000}"/>
    <cellStyle name="60% - Акцент2 2 12" xfId="2044" xr:uid="{00000000-0005-0000-0000-0000FB070000}"/>
    <cellStyle name="60% - Акцент2 2 2" xfId="2045" xr:uid="{00000000-0005-0000-0000-0000FC070000}"/>
    <cellStyle name="60% - Акцент2 2 2 2" xfId="2046" xr:uid="{00000000-0005-0000-0000-0000FD070000}"/>
    <cellStyle name="60% - Акцент2 2 3" xfId="2047" xr:uid="{00000000-0005-0000-0000-0000FE070000}"/>
    <cellStyle name="60% - Акцент2 2 3 2" xfId="2048" xr:uid="{00000000-0005-0000-0000-0000FF070000}"/>
    <cellStyle name="60% - Акцент2 2 4" xfId="2049" xr:uid="{00000000-0005-0000-0000-000000080000}"/>
    <cellStyle name="60% - Акцент2 2 4 2" xfId="2050" xr:uid="{00000000-0005-0000-0000-000001080000}"/>
    <cellStyle name="60% - Акцент2 2 5" xfId="2051" xr:uid="{00000000-0005-0000-0000-000002080000}"/>
    <cellStyle name="60% - Акцент2 2 5 2" xfId="2052" xr:uid="{00000000-0005-0000-0000-000003080000}"/>
    <cellStyle name="60% - Акцент2 2 6" xfId="2053" xr:uid="{00000000-0005-0000-0000-000004080000}"/>
    <cellStyle name="60% - Акцент2 2 6 2" xfId="2054" xr:uid="{00000000-0005-0000-0000-000005080000}"/>
    <cellStyle name="60% - Акцент2 2 7" xfId="2055" xr:uid="{00000000-0005-0000-0000-000006080000}"/>
    <cellStyle name="60% - Акцент2 2 8" xfId="2056" xr:uid="{00000000-0005-0000-0000-000007080000}"/>
    <cellStyle name="60% - Акцент2 2 9" xfId="2057" xr:uid="{00000000-0005-0000-0000-000008080000}"/>
    <cellStyle name="60% - Акцент2 3" xfId="2058" xr:uid="{00000000-0005-0000-0000-000009080000}"/>
    <cellStyle name="60% - Акцент2 3 2" xfId="2059" xr:uid="{00000000-0005-0000-0000-00000A080000}"/>
    <cellStyle name="60% - Акцент2 4" xfId="2060" xr:uid="{00000000-0005-0000-0000-00000B080000}"/>
    <cellStyle name="60% - Акцент2 5" xfId="2061" xr:uid="{00000000-0005-0000-0000-00000C080000}"/>
    <cellStyle name="60% - Акцент2 6" xfId="2062" xr:uid="{00000000-0005-0000-0000-00000D080000}"/>
    <cellStyle name="60% - Акцент2 7" xfId="2063" xr:uid="{00000000-0005-0000-0000-00000E080000}"/>
    <cellStyle name="60% - Акцент2 8" xfId="2064" xr:uid="{00000000-0005-0000-0000-00000F080000}"/>
    <cellStyle name="60% - Акцент2 9" xfId="2065" xr:uid="{00000000-0005-0000-0000-000010080000}"/>
    <cellStyle name="60% - Акцент3 10" xfId="2066" xr:uid="{00000000-0005-0000-0000-000011080000}"/>
    <cellStyle name="60% - Акцент3 11" xfId="2067" xr:uid="{00000000-0005-0000-0000-000012080000}"/>
    <cellStyle name="60% - Акцент3 12" xfId="2068" xr:uid="{00000000-0005-0000-0000-000013080000}"/>
    <cellStyle name="60% - Акцент3 13" xfId="2069" xr:uid="{00000000-0005-0000-0000-000014080000}"/>
    <cellStyle name="60% - Акцент3 14" xfId="2070" xr:uid="{00000000-0005-0000-0000-000015080000}"/>
    <cellStyle name="60% - Акцент3 15" xfId="2071" xr:uid="{00000000-0005-0000-0000-000016080000}"/>
    <cellStyle name="60% - Акцент3 2" xfId="2072" xr:uid="{00000000-0005-0000-0000-000017080000}"/>
    <cellStyle name="60% - Акцент3 2 10" xfId="2073" xr:uid="{00000000-0005-0000-0000-000018080000}"/>
    <cellStyle name="60% - Акцент3 2 11" xfId="2074" xr:uid="{00000000-0005-0000-0000-000019080000}"/>
    <cellStyle name="60% - Акцент3 2 12" xfId="2075" xr:uid="{00000000-0005-0000-0000-00001A080000}"/>
    <cellStyle name="60% - Акцент3 2 2" xfId="2076" xr:uid="{00000000-0005-0000-0000-00001B080000}"/>
    <cellStyle name="60% - Акцент3 2 2 2" xfId="2077" xr:uid="{00000000-0005-0000-0000-00001C080000}"/>
    <cellStyle name="60% - Акцент3 2 3" xfId="2078" xr:uid="{00000000-0005-0000-0000-00001D080000}"/>
    <cellStyle name="60% - Акцент3 2 3 2" xfId="2079" xr:uid="{00000000-0005-0000-0000-00001E080000}"/>
    <cellStyle name="60% - Акцент3 2 4" xfId="2080" xr:uid="{00000000-0005-0000-0000-00001F080000}"/>
    <cellStyle name="60% - Акцент3 2 4 2" xfId="2081" xr:uid="{00000000-0005-0000-0000-000020080000}"/>
    <cellStyle name="60% - Акцент3 2 5" xfId="2082" xr:uid="{00000000-0005-0000-0000-000021080000}"/>
    <cellStyle name="60% - Акцент3 2 5 2" xfId="2083" xr:uid="{00000000-0005-0000-0000-000022080000}"/>
    <cellStyle name="60% - Акцент3 2 6" xfId="2084" xr:uid="{00000000-0005-0000-0000-000023080000}"/>
    <cellStyle name="60% - Акцент3 2 6 2" xfId="2085" xr:uid="{00000000-0005-0000-0000-000024080000}"/>
    <cellStyle name="60% - Акцент3 2 7" xfId="2086" xr:uid="{00000000-0005-0000-0000-000025080000}"/>
    <cellStyle name="60% - Акцент3 2 8" xfId="2087" xr:uid="{00000000-0005-0000-0000-000026080000}"/>
    <cellStyle name="60% - Акцент3 2 9" xfId="2088" xr:uid="{00000000-0005-0000-0000-000027080000}"/>
    <cellStyle name="60% - Акцент3 3" xfId="2089" xr:uid="{00000000-0005-0000-0000-000028080000}"/>
    <cellStyle name="60% - Акцент3 3 2" xfId="2090" xr:uid="{00000000-0005-0000-0000-000029080000}"/>
    <cellStyle name="60% - Акцент3 4" xfId="2091" xr:uid="{00000000-0005-0000-0000-00002A080000}"/>
    <cellStyle name="60% - Акцент3 5" xfId="2092" xr:uid="{00000000-0005-0000-0000-00002B080000}"/>
    <cellStyle name="60% - Акцент3 6" xfId="2093" xr:uid="{00000000-0005-0000-0000-00002C080000}"/>
    <cellStyle name="60% - Акцент3 7" xfId="2094" xr:uid="{00000000-0005-0000-0000-00002D080000}"/>
    <cellStyle name="60% - Акцент3 8" xfId="2095" xr:uid="{00000000-0005-0000-0000-00002E080000}"/>
    <cellStyle name="60% - Акцент3 9" xfId="2096" xr:uid="{00000000-0005-0000-0000-00002F080000}"/>
    <cellStyle name="60% - Акцент4 10" xfId="2097" xr:uid="{00000000-0005-0000-0000-000030080000}"/>
    <cellStyle name="60% - Акцент4 11" xfId="2098" xr:uid="{00000000-0005-0000-0000-000031080000}"/>
    <cellStyle name="60% - Акцент4 12" xfId="2099" xr:uid="{00000000-0005-0000-0000-000032080000}"/>
    <cellStyle name="60% - Акцент4 13" xfId="2100" xr:uid="{00000000-0005-0000-0000-000033080000}"/>
    <cellStyle name="60% - Акцент4 14" xfId="2101" xr:uid="{00000000-0005-0000-0000-000034080000}"/>
    <cellStyle name="60% - Акцент4 15" xfId="2102" xr:uid="{00000000-0005-0000-0000-000035080000}"/>
    <cellStyle name="60% - Акцент4 2" xfId="2103" xr:uid="{00000000-0005-0000-0000-000036080000}"/>
    <cellStyle name="60% - Акцент4 2 10" xfId="2104" xr:uid="{00000000-0005-0000-0000-000037080000}"/>
    <cellStyle name="60% - Акцент4 2 11" xfId="2105" xr:uid="{00000000-0005-0000-0000-000038080000}"/>
    <cellStyle name="60% - Акцент4 2 12" xfId="2106" xr:uid="{00000000-0005-0000-0000-000039080000}"/>
    <cellStyle name="60% - Акцент4 2 2" xfId="2107" xr:uid="{00000000-0005-0000-0000-00003A080000}"/>
    <cellStyle name="60% - Акцент4 2 2 2" xfId="2108" xr:uid="{00000000-0005-0000-0000-00003B080000}"/>
    <cellStyle name="60% - Акцент4 2 3" xfId="2109" xr:uid="{00000000-0005-0000-0000-00003C080000}"/>
    <cellStyle name="60% - Акцент4 2 3 2" xfId="2110" xr:uid="{00000000-0005-0000-0000-00003D080000}"/>
    <cellStyle name="60% - Акцент4 2 4" xfId="2111" xr:uid="{00000000-0005-0000-0000-00003E080000}"/>
    <cellStyle name="60% - Акцент4 2 4 2" xfId="2112" xr:uid="{00000000-0005-0000-0000-00003F080000}"/>
    <cellStyle name="60% - Акцент4 2 5" xfId="2113" xr:uid="{00000000-0005-0000-0000-000040080000}"/>
    <cellStyle name="60% - Акцент4 2 5 2" xfId="2114" xr:uid="{00000000-0005-0000-0000-000041080000}"/>
    <cellStyle name="60% - Акцент4 2 6" xfId="2115" xr:uid="{00000000-0005-0000-0000-000042080000}"/>
    <cellStyle name="60% - Акцент4 2 6 2" xfId="2116" xr:uid="{00000000-0005-0000-0000-000043080000}"/>
    <cellStyle name="60% - Акцент4 2 7" xfId="2117" xr:uid="{00000000-0005-0000-0000-000044080000}"/>
    <cellStyle name="60% - Акцент4 2 8" xfId="2118" xr:uid="{00000000-0005-0000-0000-000045080000}"/>
    <cellStyle name="60% - Акцент4 2 9" xfId="2119" xr:uid="{00000000-0005-0000-0000-000046080000}"/>
    <cellStyle name="60% - Акцент4 3" xfId="2120" xr:uid="{00000000-0005-0000-0000-000047080000}"/>
    <cellStyle name="60% - Акцент4 3 2" xfId="2121" xr:uid="{00000000-0005-0000-0000-000048080000}"/>
    <cellStyle name="60% - Акцент4 4" xfId="2122" xr:uid="{00000000-0005-0000-0000-000049080000}"/>
    <cellStyle name="60% - Акцент4 5" xfId="2123" xr:uid="{00000000-0005-0000-0000-00004A080000}"/>
    <cellStyle name="60% - Акцент4 6" xfId="2124" xr:uid="{00000000-0005-0000-0000-00004B080000}"/>
    <cellStyle name="60% - Акцент4 7" xfId="2125" xr:uid="{00000000-0005-0000-0000-00004C080000}"/>
    <cellStyle name="60% - Акцент4 8" xfId="2126" xr:uid="{00000000-0005-0000-0000-00004D080000}"/>
    <cellStyle name="60% - Акцент4 9" xfId="2127" xr:uid="{00000000-0005-0000-0000-00004E080000}"/>
    <cellStyle name="60% - Акцент5 10" xfId="2128" xr:uid="{00000000-0005-0000-0000-00004F080000}"/>
    <cellStyle name="60% - Акцент5 11" xfId="2129" xr:uid="{00000000-0005-0000-0000-000050080000}"/>
    <cellStyle name="60% - Акцент5 12" xfId="2130" xr:uid="{00000000-0005-0000-0000-000051080000}"/>
    <cellStyle name="60% - Акцент5 13" xfId="2131" xr:uid="{00000000-0005-0000-0000-000052080000}"/>
    <cellStyle name="60% - Акцент5 14" xfId="2132" xr:uid="{00000000-0005-0000-0000-000053080000}"/>
    <cellStyle name="60% - Акцент5 15" xfId="2133" xr:uid="{00000000-0005-0000-0000-000054080000}"/>
    <cellStyle name="60% - Акцент5 2" xfId="2134" xr:uid="{00000000-0005-0000-0000-000055080000}"/>
    <cellStyle name="60% - Акцент5 2 10" xfId="2135" xr:uid="{00000000-0005-0000-0000-000056080000}"/>
    <cellStyle name="60% - Акцент5 2 11" xfId="2136" xr:uid="{00000000-0005-0000-0000-000057080000}"/>
    <cellStyle name="60% - Акцент5 2 12" xfId="2137" xr:uid="{00000000-0005-0000-0000-000058080000}"/>
    <cellStyle name="60% - Акцент5 2 2" xfId="2138" xr:uid="{00000000-0005-0000-0000-000059080000}"/>
    <cellStyle name="60% - Акцент5 2 2 2" xfId="2139" xr:uid="{00000000-0005-0000-0000-00005A080000}"/>
    <cellStyle name="60% - Акцент5 2 3" xfId="2140" xr:uid="{00000000-0005-0000-0000-00005B080000}"/>
    <cellStyle name="60% - Акцент5 2 3 2" xfId="2141" xr:uid="{00000000-0005-0000-0000-00005C080000}"/>
    <cellStyle name="60% - Акцент5 2 4" xfId="2142" xr:uid="{00000000-0005-0000-0000-00005D080000}"/>
    <cellStyle name="60% - Акцент5 2 4 2" xfId="2143" xr:uid="{00000000-0005-0000-0000-00005E080000}"/>
    <cellStyle name="60% - Акцент5 2 5" xfId="2144" xr:uid="{00000000-0005-0000-0000-00005F080000}"/>
    <cellStyle name="60% - Акцент5 2 5 2" xfId="2145" xr:uid="{00000000-0005-0000-0000-000060080000}"/>
    <cellStyle name="60% - Акцент5 2 6" xfId="2146" xr:uid="{00000000-0005-0000-0000-000061080000}"/>
    <cellStyle name="60% - Акцент5 2 6 2" xfId="2147" xr:uid="{00000000-0005-0000-0000-000062080000}"/>
    <cellStyle name="60% - Акцент5 2 7" xfId="2148" xr:uid="{00000000-0005-0000-0000-000063080000}"/>
    <cellStyle name="60% - Акцент5 2 8" xfId="2149" xr:uid="{00000000-0005-0000-0000-000064080000}"/>
    <cellStyle name="60% - Акцент5 2 9" xfId="2150" xr:uid="{00000000-0005-0000-0000-000065080000}"/>
    <cellStyle name="60% - Акцент5 3" xfId="2151" xr:uid="{00000000-0005-0000-0000-000066080000}"/>
    <cellStyle name="60% - Акцент5 3 2" xfId="2152" xr:uid="{00000000-0005-0000-0000-000067080000}"/>
    <cellStyle name="60% - Акцент5 4" xfId="2153" xr:uid="{00000000-0005-0000-0000-000068080000}"/>
    <cellStyle name="60% - Акцент5 5" xfId="2154" xr:uid="{00000000-0005-0000-0000-000069080000}"/>
    <cellStyle name="60% - Акцент5 6" xfId="2155" xr:uid="{00000000-0005-0000-0000-00006A080000}"/>
    <cellStyle name="60% - Акцент5 7" xfId="2156" xr:uid="{00000000-0005-0000-0000-00006B080000}"/>
    <cellStyle name="60% - Акцент5 8" xfId="2157" xr:uid="{00000000-0005-0000-0000-00006C080000}"/>
    <cellStyle name="60% - Акцент5 9" xfId="2158" xr:uid="{00000000-0005-0000-0000-00006D080000}"/>
    <cellStyle name="60% - Акцент6 10" xfId="2159" xr:uid="{00000000-0005-0000-0000-00006E080000}"/>
    <cellStyle name="60% - Акцент6 11" xfId="2160" xr:uid="{00000000-0005-0000-0000-00006F080000}"/>
    <cellStyle name="60% - Акцент6 12" xfId="2161" xr:uid="{00000000-0005-0000-0000-000070080000}"/>
    <cellStyle name="60% - Акцент6 13" xfId="2162" xr:uid="{00000000-0005-0000-0000-000071080000}"/>
    <cellStyle name="60% - Акцент6 14" xfId="2163" xr:uid="{00000000-0005-0000-0000-000072080000}"/>
    <cellStyle name="60% - Акцент6 15" xfId="2164" xr:uid="{00000000-0005-0000-0000-000073080000}"/>
    <cellStyle name="60% - Акцент6 2" xfId="2165" xr:uid="{00000000-0005-0000-0000-000074080000}"/>
    <cellStyle name="60% - Акцент6 2 10" xfId="2166" xr:uid="{00000000-0005-0000-0000-000075080000}"/>
    <cellStyle name="60% - Акцент6 2 11" xfId="2167" xr:uid="{00000000-0005-0000-0000-000076080000}"/>
    <cellStyle name="60% - Акцент6 2 12" xfId="2168" xr:uid="{00000000-0005-0000-0000-000077080000}"/>
    <cellStyle name="60% - Акцент6 2 2" xfId="2169" xr:uid="{00000000-0005-0000-0000-000078080000}"/>
    <cellStyle name="60% - Акцент6 2 2 2" xfId="2170" xr:uid="{00000000-0005-0000-0000-000079080000}"/>
    <cellStyle name="60% - Акцент6 2 3" xfId="2171" xr:uid="{00000000-0005-0000-0000-00007A080000}"/>
    <cellStyle name="60% - Акцент6 2 3 2" xfId="2172" xr:uid="{00000000-0005-0000-0000-00007B080000}"/>
    <cellStyle name="60% - Акцент6 2 4" xfId="2173" xr:uid="{00000000-0005-0000-0000-00007C080000}"/>
    <cellStyle name="60% - Акцент6 2 4 2" xfId="2174" xr:uid="{00000000-0005-0000-0000-00007D080000}"/>
    <cellStyle name="60% - Акцент6 2 5" xfId="2175" xr:uid="{00000000-0005-0000-0000-00007E080000}"/>
    <cellStyle name="60% - Акцент6 2 5 2" xfId="2176" xr:uid="{00000000-0005-0000-0000-00007F080000}"/>
    <cellStyle name="60% - Акцент6 2 6" xfId="2177" xr:uid="{00000000-0005-0000-0000-000080080000}"/>
    <cellStyle name="60% - Акцент6 2 6 2" xfId="2178" xr:uid="{00000000-0005-0000-0000-000081080000}"/>
    <cellStyle name="60% - Акцент6 2 7" xfId="2179" xr:uid="{00000000-0005-0000-0000-000082080000}"/>
    <cellStyle name="60% - Акцент6 2 8" xfId="2180" xr:uid="{00000000-0005-0000-0000-000083080000}"/>
    <cellStyle name="60% - Акцент6 2 9" xfId="2181" xr:uid="{00000000-0005-0000-0000-000084080000}"/>
    <cellStyle name="60% - Акцент6 3" xfId="2182" xr:uid="{00000000-0005-0000-0000-000085080000}"/>
    <cellStyle name="60% - Акцент6 3 2" xfId="2183" xr:uid="{00000000-0005-0000-0000-000086080000}"/>
    <cellStyle name="60% - Акцент6 4" xfId="2184" xr:uid="{00000000-0005-0000-0000-000087080000}"/>
    <cellStyle name="60% - Акцент6 5" xfId="2185" xr:uid="{00000000-0005-0000-0000-000088080000}"/>
    <cellStyle name="60% - Акцент6 6" xfId="2186" xr:uid="{00000000-0005-0000-0000-000089080000}"/>
    <cellStyle name="60% - Акцент6 7" xfId="2187" xr:uid="{00000000-0005-0000-0000-00008A080000}"/>
    <cellStyle name="60% - Акцент6 8" xfId="2188" xr:uid="{00000000-0005-0000-0000-00008B080000}"/>
    <cellStyle name="60% - Акцент6 9" xfId="2189" xr:uid="{00000000-0005-0000-0000-00008C080000}"/>
    <cellStyle name="Accent1" xfId="2190" xr:uid="{00000000-0005-0000-0000-00008D080000}"/>
    <cellStyle name="Accent1 - 20%" xfId="2191" xr:uid="{00000000-0005-0000-0000-00008E080000}"/>
    <cellStyle name="Accent1 - 20% 2" xfId="2192" xr:uid="{00000000-0005-0000-0000-00008F080000}"/>
    <cellStyle name="Accent1 - 40%" xfId="2193" xr:uid="{00000000-0005-0000-0000-000090080000}"/>
    <cellStyle name="Accent1 - 40% 2" xfId="2194" xr:uid="{00000000-0005-0000-0000-000091080000}"/>
    <cellStyle name="Accent1 - 60%" xfId="2195" xr:uid="{00000000-0005-0000-0000-000092080000}"/>
    <cellStyle name="Accent1 - 60% 2" xfId="2196" xr:uid="{00000000-0005-0000-0000-000093080000}"/>
    <cellStyle name="Accent2" xfId="2197" xr:uid="{00000000-0005-0000-0000-000094080000}"/>
    <cellStyle name="Accent2 - 20%" xfId="2198" xr:uid="{00000000-0005-0000-0000-000095080000}"/>
    <cellStyle name="Accent2 - 20% 2" xfId="2199" xr:uid="{00000000-0005-0000-0000-000096080000}"/>
    <cellStyle name="Accent2 - 40%" xfId="2200" xr:uid="{00000000-0005-0000-0000-000097080000}"/>
    <cellStyle name="Accent2 - 40% 2" xfId="2201" xr:uid="{00000000-0005-0000-0000-000098080000}"/>
    <cellStyle name="Accent2 - 60%" xfId="2202" xr:uid="{00000000-0005-0000-0000-000099080000}"/>
    <cellStyle name="Accent2 - 60% 2" xfId="2203" xr:uid="{00000000-0005-0000-0000-00009A080000}"/>
    <cellStyle name="Accent3" xfId="2204" xr:uid="{00000000-0005-0000-0000-00009B080000}"/>
    <cellStyle name="Accent3 - 20%" xfId="2205" xr:uid="{00000000-0005-0000-0000-00009C080000}"/>
    <cellStyle name="Accent3 - 20% 2" xfId="2206" xr:uid="{00000000-0005-0000-0000-00009D080000}"/>
    <cellStyle name="Accent3 - 40%" xfId="2207" xr:uid="{00000000-0005-0000-0000-00009E080000}"/>
    <cellStyle name="Accent3 - 40% 2" xfId="2208" xr:uid="{00000000-0005-0000-0000-00009F080000}"/>
    <cellStyle name="Accent3 - 60%" xfId="2209" xr:uid="{00000000-0005-0000-0000-0000A0080000}"/>
    <cellStyle name="Accent3 - 60% 2" xfId="2210" xr:uid="{00000000-0005-0000-0000-0000A1080000}"/>
    <cellStyle name="Accent4" xfId="2211" xr:uid="{00000000-0005-0000-0000-0000A2080000}"/>
    <cellStyle name="Accent4 - 20%" xfId="2212" xr:uid="{00000000-0005-0000-0000-0000A3080000}"/>
    <cellStyle name="Accent4 - 20% 2" xfId="2213" xr:uid="{00000000-0005-0000-0000-0000A4080000}"/>
    <cellStyle name="Accent4 - 40%" xfId="2214" xr:uid="{00000000-0005-0000-0000-0000A5080000}"/>
    <cellStyle name="Accent4 - 40% 2" xfId="2215" xr:uid="{00000000-0005-0000-0000-0000A6080000}"/>
    <cellStyle name="Accent4 - 60%" xfId="2216" xr:uid="{00000000-0005-0000-0000-0000A7080000}"/>
    <cellStyle name="Accent4 - 60% 2" xfId="2217" xr:uid="{00000000-0005-0000-0000-0000A8080000}"/>
    <cellStyle name="Accent5" xfId="2218" xr:uid="{00000000-0005-0000-0000-0000A9080000}"/>
    <cellStyle name="Accent5 - 20%" xfId="2219" xr:uid="{00000000-0005-0000-0000-0000AA080000}"/>
    <cellStyle name="Accent5 - 20% 2" xfId="2220" xr:uid="{00000000-0005-0000-0000-0000AB080000}"/>
    <cellStyle name="Accent5 - 40%" xfId="2221" xr:uid="{00000000-0005-0000-0000-0000AC080000}"/>
    <cellStyle name="Accent5 - 60%" xfId="2222" xr:uid="{00000000-0005-0000-0000-0000AD080000}"/>
    <cellStyle name="Accent5 - 60% 2" xfId="2223" xr:uid="{00000000-0005-0000-0000-0000AE080000}"/>
    <cellStyle name="Accent6" xfId="2224" xr:uid="{00000000-0005-0000-0000-0000AF080000}"/>
    <cellStyle name="Accent6 - 20%" xfId="2225" xr:uid="{00000000-0005-0000-0000-0000B0080000}"/>
    <cellStyle name="Accent6 - 40%" xfId="2226" xr:uid="{00000000-0005-0000-0000-0000B1080000}"/>
    <cellStyle name="Accent6 - 40% 2" xfId="2227" xr:uid="{00000000-0005-0000-0000-0000B2080000}"/>
    <cellStyle name="Accent6 - 60%" xfId="2228" xr:uid="{00000000-0005-0000-0000-0000B3080000}"/>
    <cellStyle name="Accent6 - 60% 2" xfId="2229" xr:uid="{00000000-0005-0000-0000-0000B4080000}"/>
    <cellStyle name="account" xfId="2230" xr:uid="{00000000-0005-0000-0000-0000B5080000}"/>
    <cellStyle name="Accounting" xfId="2231" xr:uid="{00000000-0005-0000-0000-0000B6080000}"/>
    <cellStyle name="Ăčďĺđńńűëęŕ" xfId="2232" xr:uid="{00000000-0005-0000-0000-0000B7080000}"/>
    <cellStyle name="Ăčďĺđńńűëęŕ 2" xfId="2233" xr:uid="{00000000-0005-0000-0000-0000B8080000}"/>
    <cellStyle name="Áĺççŕůčňíűé" xfId="2234" xr:uid="{00000000-0005-0000-0000-0000B9080000}"/>
    <cellStyle name="Äĺíĺćíűé [0]_(ňŕá 3č)" xfId="2235" xr:uid="{00000000-0005-0000-0000-0000BA080000}"/>
    <cellStyle name="Äĺíĺćíűé_(ňŕá 3č)" xfId="2236" xr:uid="{00000000-0005-0000-0000-0000BB080000}"/>
    <cellStyle name="Anna" xfId="2237" xr:uid="{00000000-0005-0000-0000-0000BC080000}"/>
    <cellStyle name="AP_AR_UPS" xfId="2238" xr:uid="{00000000-0005-0000-0000-0000BD080000}"/>
    <cellStyle name="BackGround_General" xfId="2239" xr:uid="{00000000-0005-0000-0000-0000BE080000}"/>
    <cellStyle name="Bad" xfId="2240" xr:uid="{00000000-0005-0000-0000-0000BF080000}"/>
    <cellStyle name="blank" xfId="2241" xr:uid="{00000000-0005-0000-0000-0000C0080000}"/>
    <cellStyle name="Blue_Calculation" xfId="2242" xr:uid="{00000000-0005-0000-0000-0000C1080000}"/>
    <cellStyle name="Calculation" xfId="2243" xr:uid="{00000000-0005-0000-0000-0000C2080000}"/>
    <cellStyle name="Check" xfId="2244" xr:uid="{00000000-0005-0000-0000-0000C3080000}"/>
    <cellStyle name="Check Cell" xfId="2245" xr:uid="{00000000-0005-0000-0000-0000C4080000}"/>
    <cellStyle name="Comma [0]_irl tel sep5" xfId="2246" xr:uid="{00000000-0005-0000-0000-0000C5080000}"/>
    <cellStyle name="Comma 2" xfId="2247" xr:uid="{00000000-0005-0000-0000-0000C6080000}"/>
    <cellStyle name="Comma 3" xfId="2248" xr:uid="{00000000-0005-0000-0000-0000C7080000}"/>
    <cellStyle name="Comma_irl tel sep5" xfId="2249" xr:uid="{00000000-0005-0000-0000-0000C8080000}"/>
    <cellStyle name="Comma0" xfId="2250" xr:uid="{00000000-0005-0000-0000-0000C9080000}"/>
    <cellStyle name="Çŕůčňíűé" xfId="2251" xr:uid="{00000000-0005-0000-0000-0000CA080000}"/>
    <cellStyle name="Currency [0]" xfId="2252" xr:uid="{00000000-0005-0000-0000-0000CB080000}"/>
    <cellStyle name="Currency [0] 2" xfId="2253" xr:uid="{00000000-0005-0000-0000-0000CC080000}"/>
    <cellStyle name="Currency [0] 3" xfId="2254" xr:uid="{00000000-0005-0000-0000-0000CD080000}"/>
    <cellStyle name="Currency [0] 4" xfId="2255" xr:uid="{00000000-0005-0000-0000-0000CE080000}"/>
    <cellStyle name="Currency [0]_irl tel sep5" xfId="2256" xr:uid="{00000000-0005-0000-0000-0000CF080000}"/>
    <cellStyle name="Currency_irl tel sep5" xfId="2257" xr:uid="{00000000-0005-0000-0000-0000D0080000}"/>
    <cellStyle name="Currency0" xfId="2258" xr:uid="{00000000-0005-0000-0000-0000D1080000}"/>
    <cellStyle name="Date" xfId="2259" xr:uid="{00000000-0005-0000-0000-0000D2080000}"/>
    <cellStyle name="date 2" xfId="2260" xr:uid="{00000000-0005-0000-0000-0000D3080000}"/>
    <cellStyle name="date 3" xfId="2261" xr:uid="{00000000-0005-0000-0000-0000D4080000}"/>
    <cellStyle name="Dates" xfId="2262" xr:uid="{00000000-0005-0000-0000-0000D5080000}"/>
    <cellStyle name="Dates 2" xfId="2263" xr:uid="{00000000-0005-0000-0000-0000D6080000}"/>
    <cellStyle name="Dezimal [0]_Compiling Utility Macros" xfId="2264" xr:uid="{00000000-0005-0000-0000-0000D7080000}"/>
    <cellStyle name="Dezimal_Compiling Utility Macros" xfId="2265" xr:uid="{00000000-0005-0000-0000-0000D8080000}"/>
    <cellStyle name="E-mail" xfId="2266" xr:uid="{00000000-0005-0000-0000-0000D9080000}"/>
    <cellStyle name="E-mail 2" xfId="2267" xr:uid="{00000000-0005-0000-0000-0000DA080000}"/>
    <cellStyle name="Emphasis 1" xfId="2268" xr:uid="{00000000-0005-0000-0000-0000DB080000}"/>
    <cellStyle name="Emphasis 1 2" xfId="2269" xr:uid="{00000000-0005-0000-0000-0000DC080000}"/>
    <cellStyle name="Emphasis 2" xfId="2270" xr:uid="{00000000-0005-0000-0000-0000DD080000}"/>
    <cellStyle name="Emphasis 2 2" xfId="2271" xr:uid="{00000000-0005-0000-0000-0000DE080000}"/>
    <cellStyle name="Emphasis 3" xfId="2272" xr:uid="{00000000-0005-0000-0000-0000DF080000}"/>
    <cellStyle name="Euro" xfId="2273" xr:uid="{00000000-0005-0000-0000-0000E0080000}"/>
    <cellStyle name="Euro 2" xfId="2274" xr:uid="{00000000-0005-0000-0000-0000E1080000}"/>
    <cellStyle name="Excel Built-in Normal" xfId="2275" xr:uid="{00000000-0005-0000-0000-0000E2080000}"/>
    <cellStyle name="Excel Built-in Normal 2" xfId="2276" xr:uid="{00000000-0005-0000-0000-0000E3080000}"/>
    <cellStyle name="Excel Built-in Normal 3" xfId="2277" xr:uid="{00000000-0005-0000-0000-0000E4080000}"/>
    <cellStyle name="Excel Built-in Normal 4" xfId="2278" xr:uid="{00000000-0005-0000-0000-0000E5080000}"/>
    <cellStyle name="Excel Built-in Normal 5" xfId="2279" xr:uid="{00000000-0005-0000-0000-0000E6080000}"/>
    <cellStyle name="Excel Built-in Normal 6" xfId="2280" xr:uid="{00000000-0005-0000-0000-0000E7080000}"/>
    <cellStyle name="Fixed" xfId="2281" xr:uid="{00000000-0005-0000-0000-0000E8080000}"/>
    <cellStyle name="Footnotes" xfId="2282" xr:uid="{00000000-0005-0000-0000-0000E9080000}"/>
    <cellStyle name="General_Ledger" xfId="2283" xr:uid="{00000000-0005-0000-0000-0000EA080000}"/>
    <cellStyle name="Good" xfId="2284" xr:uid="{00000000-0005-0000-0000-0000EB080000}"/>
    <cellStyle name="Heading" xfId="2285" xr:uid="{00000000-0005-0000-0000-0000EC080000}"/>
    <cellStyle name="Heading 1" xfId="2286" xr:uid="{00000000-0005-0000-0000-0000ED080000}"/>
    <cellStyle name="Heading 2" xfId="2287" xr:uid="{00000000-0005-0000-0000-0000EE080000}"/>
    <cellStyle name="Heading 3" xfId="2288" xr:uid="{00000000-0005-0000-0000-0000EF080000}"/>
    <cellStyle name="Heading 4" xfId="2289" xr:uid="{00000000-0005-0000-0000-0000F0080000}"/>
    <cellStyle name="Heading 5" xfId="2290" xr:uid="{00000000-0005-0000-0000-0000F1080000}"/>
    <cellStyle name="Heading2" xfId="2291" xr:uid="{00000000-0005-0000-0000-0000F2080000}"/>
    <cellStyle name="Heading2 2" xfId="2292" xr:uid="{00000000-0005-0000-0000-0000F3080000}"/>
    <cellStyle name="Hidden" xfId="2293" xr:uid="{00000000-0005-0000-0000-0000F4080000}"/>
    <cellStyle name="Îáű÷íűé__FES" xfId="2294" xr:uid="{00000000-0005-0000-0000-0000F5080000}"/>
    <cellStyle name="Îňęđűâŕâřŕ˙ń˙ ăčďĺđńńűëęŕ" xfId="2295" xr:uid="{00000000-0005-0000-0000-0000F6080000}"/>
    <cellStyle name="Îňęđűâŕâřŕ˙ń˙ ăčďĺđńńűëęŕ 2" xfId="2296" xr:uid="{00000000-0005-0000-0000-0000F7080000}"/>
    <cellStyle name="Input" xfId="2297" xr:uid="{00000000-0005-0000-0000-0000F8080000}"/>
    <cellStyle name="Inputs" xfId="2298" xr:uid="{00000000-0005-0000-0000-0000F9080000}"/>
    <cellStyle name="Inputs (const)" xfId="2299" xr:uid="{00000000-0005-0000-0000-0000FA080000}"/>
    <cellStyle name="Inputs Co" xfId="2300" xr:uid="{00000000-0005-0000-0000-0000FB080000}"/>
    <cellStyle name="Just_Table" xfId="2301" xr:uid="{00000000-0005-0000-0000-0000FC080000}"/>
    <cellStyle name="LeftTitle" xfId="2302" xr:uid="{00000000-0005-0000-0000-0000FD080000}"/>
    <cellStyle name="Linked Cell" xfId="2303" xr:uid="{00000000-0005-0000-0000-0000FE080000}"/>
    <cellStyle name="Neutral" xfId="2304" xr:uid="{00000000-0005-0000-0000-0000FF080000}"/>
    <cellStyle name="No_Input" xfId="2305" xr:uid="{00000000-0005-0000-0000-000000090000}"/>
    <cellStyle name="Normal 2" xfId="2306" xr:uid="{00000000-0005-0000-0000-000001090000}"/>
    <cellStyle name="Normal 2 2" xfId="2307" xr:uid="{00000000-0005-0000-0000-000002090000}"/>
    <cellStyle name="Normal 3" xfId="2308" xr:uid="{00000000-0005-0000-0000-000003090000}"/>
    <cellStyle name="Normal 3 2" xfId="2309" xr:uid="{00000000-0005-0000-0000-000004090000}"/>
    <cellStyle name="Normal 3 2 2" xfId="2310" xr:uid="{00000000-0005-0000-0000-000005090000}"/>
    <cellStyle name="Normal 3 3" xfId="2311" xr:uid="{00000000-0005-0000-0000-000006090000}"/>
    <cellStyle name="Normal 3 4" xfId="2312" xr:uid="{00000000-0005-0000-0000-000007090000}"/>
    <cellStyle name="Normal 4" xfId="2313" xr:uid="{00000000-0005-0000-0000-000008090000}"/>
    <cellStyle name="Normal 4 2" xfId="2314" xr:uid="{00000000-0005-0000-0000-000009090000}"/>
    <cellStyle name="Normal 5" xfId="2315" xr:uid="{00000000-0005-0000-0000-00000A090000}"/>
    <cellStyle name="Normal 5 2" xfId="2316" xr:uid="{00000000-0005-0000-0000-00000B090000}"/>
    <cellStyle name="Normal 5 3" xfId="2317" xr:uid="{00000000-0005-0000-0000-00000C090000}"/>
    <cellStyle name="Normal 6" xfId="2318" xr:uid="{00000000-0005-0000-0000-00000D090000}"/>
    <cellStyle name="Normal 7" xfId="2319" xr:uid="{00000000-0005-0000-0000-00000E090000}"/>
    <cellStyle name="Normal_38" xfId="2320" xr:uid="{00000000-0005-0000-0000-00000F090000}"/>
    <cellStyle name="Normal1" xfId="2321" xr:uid="{00000000-0005-0000-0000-000010090000}"/>
    <cellStyle name="Normal1 2" xfId="2322" xr:uid="{00000000-0005-0000-0000-000011090000}"/>
    <cellStyle name="normбlnм_laroux" xfId="2323" xr:uid="{00000000-0005-0000-0000-000012090000}"/>
    <cellStyle name="Note" xfId="2324" xr:uid="{00000000-0005-0000-0000-000013090000}"/>
    <cellStyle name="Note 2" xfId="2325" xr:uid="{00000000-0005-0000-0000-000014090000}"/>
    <cellStyle name="Note 2 2" xfId="2326" xr:uid="{00000000-0005-0000-0000-000015090000}"/>
    <cellStyle name="Note 2 2 2" xfId="2327" xr:uid="{00000000-0005-0000-0000-000016090000}"/>
    <cellStyle name="Note 2 3" xfId="2328" xr:uid="{00000000-0005-0000-0000-000017090000}"/>
    <cellStyle name="Note 3" xfId="2329" xr:uid="{00000000-0005-0000-0000-000018090000}"/>
    <cellStyle name="Note 3 2" xfId="2330" xr:uid="{00000000-0005-0000-0000-000019090000}"/>
    <cellStyle name="Note 3 3" xfId="2331" xr:uid="{00000000-0005-0000-0000-00001A090000}"/>
    <cellStyle name="Note 4" xfId="2332" xr:uid="{00000000-0005-0000-0000-00001B090000}"/>
    <cellStyle name="Note 4 2" xfId="2333" xr:uid="{00000000-0005-0000-0000-00001C090000}"/>
    <cellStyle name="Ôčíŕíńîâűé [0]_(ňŕá 3č)" xfId="2334" xr:uid="{00000000-0005-0000-0000-00001D090000}"/>
    <cellStyle name="Ôčíŕíńîâűé_(ňŕá 3č)" xfId="2335" xr:uid="{00000000-0005-0000-0000-00001E090000}"/>
    <cellStyle name="Output" xfId="2336" xr:uid="{00000000-0005-0000-0000-00001F090000}"/>
    <cellStyle name="PageHeading" xfId="2337" xr:uid="{00000000-0005-0000-0000-000020090000}"/>
    <cellStyle name="Percent 2" xfId="2338" xr:uid="{00000000-0005-0000-0000-000021090000}"/>
    <cellStyle name="Percent 2 2" xfId="2339" xr:uid="{00000000-0005-0000-0000-000022090000}"/>
    <cellStyle name="Percent 3" xfId="2340" xr:uid="{00000000-0005-0000-0000-000023090000}"/>
    <cellStyle name="Percent 3 2" xfId="2341" xr:uid="{00000000-0005-0000-0000-000024090000}"/>
    <cellStyle name="Percent 3 2 2" xfId="2342" xr:uid="{00000000-0005-0000-0000-000025090000}"/>
    <cellStyle name="Percent 3 2 2 2" xfId="2343" xr:uid="{00000000-0005-0000-0000-000026090000}"/>
    <cellStyle name="Percent 3 2 3" xfId="2344" xr:uid="{00000000-0005-0000-0000-000027090000}"/>
    <cellStyle name="Percent 3 2 4" xfId="2345" xr:uid="{00000000-0005-0000-0000-000028090000}"/>
    <cellStyle name="Percent 3 2 5" xfId="2346" xr:uid="{00000000-0005-0000-0000-000029090000}"/>
    <cellStyle name="Percent 3 3" xfId="2347" xr:uid="{00000000-0005-0000-0000-00002A090000}"/>
    <cellStyle name="Percent 3 3 2" xfId="2348" xr:uid="{00000000-0005-0000-0000-00002B090000}"/>
    <cellStyle name="Percent 3 4" xfId="2349" xr:uid="{00000000-0005-0000-0000-00002C090000}"/>
    <cellStyle name="Percent 3 5" xfId="2350" xr:uid="{00000000-0005-0000-0000-00002D090000}"/>
    <cellStyle name="Percent 3 6" xfId="2351" xr:uid="{00000000-0005-0000-0000-00002E090000}"/>
    <cellStyle name="Percent 4" xfId="2352" xr:uid="{00000000-0005-0000-0000-00002F090000}"/>
    <cellStyle name="Percent 6" xfId="2353" xr:uid="{00000000-0005-0000-0000-000030090000}"/>
    <cellStyle name="Percent 6 2" xfId="2354" xr:uid="{00000000-0005-0000-0000-000031090000}"/>
    <cellStyle name="Price_Body" xfId="2355" xr:uid="{00000000-0005-0000-0000-000032090000}"/>
    <cellStyle name="QTitle" xfId="2356" xr:uid="{00000000-0005-0000-0000-000033090000}"/>
    <cellStyle name="range" xfId="2357" xr:uid="{00000000-0005-0000-0000-000034090000}"/>
    <cellStyle name="SAPBEXaggData" xfId="2358" xr:uid="{00000000-0005-0000-0000-000035090000}"/>
    <cellStyle name="SAPBEXaggData 2" xfId="2359" xr:uid="{00000000-0005-0000-0000-000036090000}"/>
    <cellStyle name="SAPBEXaggData 2 2" xfId="2360" xr:uid="{00000000-0005-0000-0000-000037090000}"/>
    <cellStyle name="SAPBEXaggData 3" xfId="2361" xr:uid="{00000000-0005-0000-0000-000038090000}"/>
    <cellStyle name="SAPBEXaggData 3 2" xfId="2362" xr:uid="{00000000-0005-0000-0000-000039090000}"/>
    <cellStyle name="SAPBEXaggData 4" xfId="2363" xr:uid="{00000000-0005-0000-0000-00003A090000}"/>
    <cellStyle name="SAPBEXaggDataEmph" xfId="2364" xr:uid="{00000000-0005-0000-0000-00003B090000}"/>
    <cellStyle name="SAPBEXaggDataEmph 2" xfId="2365" xr:uid="{00000000-0005-0000-0000-00003C090000}"/>
    <cellStyle name="SAPBEXaggDataEmph 2 2" xfId="2366" xr:uid="{00000000-0005-0000-0000-00003D090000}"/>
    <cellStyle name="SAPBEXaggDataEmph 3" xfId="2367" xr:uid="{00000000-0005-0000-0000-00003E090000}"/>
    <cellStyle name="SAPBEXaggDataEmph 3 2" xfId="2368" xr:uid="{00000000-0005-0000-0000-00003F090000}"/>
    <cellStyle name="SAPBEXaggDataEmph 4" xfId="2369" xr:uid="{00000000-0005-0000-0000-000040090000}"/>
    <cellStyle name="SAPBEXaggItem" xfId="2370" xr:uid="{00000000-0005-0000-0000-000041090000}"/>
    <cellStyle name="SAPBEXaggItem 2" xfId="2371" xr:uid="{00000000-0005-0000-0000-000042090000}"/>
    <cellStyle name="SAPBEXaggItem 2 2" xfId="2372" xr:uid="{00000000-0005-0000-0000-000043090000}"/>
    <cellStyle name="SAPBEXaggItem 3" xfId="2373" xr:uid="{00000000-0005-0000-0000-000044090000}"/>
    <cellStyle name="SAPBEXaggItem 3 2" xfId="2374" xr:uid="{00000000-0005-0000-0000-000045090000}"/>
    <cellStyle name="SAPBEXaggItem 4" xfId="2375" xr:uid="{00000000-0005-0000-0000-000046090000}"/>
    <cellStyle name="SAPBEXaggItemX" xfId="2376" xr:uid="{00000000-0005-0000-0000-000047090000}"/>
    <cellStyle name="SAPBEXaggItemX 2" xfId="2377" xr:uid="{00000000-0005-0000-0000-000048090000}"/>
    <cellStyle name="SAPBEXaggItemX 2 2" xfId="2378" xr:uid="{00000000-0005-0000-0000-000049090000}"/>
    <cellStyle name="SAPBEXaggItemX 3" xfId="2379" xr:uid="{00000000-0005-0000-0000-00004A090000}"/>
    <cellStyle name="SAPBEXaggItemX 3 2" xfId="2380" xr:uid="{00000000-0005-0000-0000-00004B090000}"/>
    <cellStyle name="SAPBEXaggItemX 4" xfId="2381" xr:uid="{00000000-0005-0000-0000-00004C090000}"/>
    <cellStyle name="SAPBEXchaText" xfId="2382" xr:uid="{00000000-0005-0000-0000-00004D090000}"/>
    <cellStyle name="SAPBEXchaText 2" xfId="2383" xr:uid="{00000000-0005-0000-0000-00004E090000}"/>
    <cellStyle name="SAPBEXchaText 3" xfId="2384" xr:uid="{00000000-0005-0000-0000-00004F090000}"/>
    <cellStyle name="SAPBEXchaText 4" xfId="2385" xr:uid="{00000000-0005-0000-0000-000050090000}"/>
    <cellStyle name="SAPBEXexcBad7" xfId="2386" xr:uid="{00000000-0005-0000-0000-000051090000}"/>
    <cellStyle name="SAPBEXexcBad7 2" xfId="2387" xr:uid="{00000000-0005-0000-0000-000052090000}"/>
    <cellStyle name="SAPBEXexcBad7 2 2" xfId="2388" xr:uid="{00000000-0005-0000-0000-000053090000}"/>
    <cellStyle name="SAPBEXexcBad7 3" xfId="2389" xr:uid="{00000000-0005-0000-0000-000054090000}"/>
    <cellStyle name="SAPBEXexcBad7 3 2" xfId="2390" xr:uid="{00000000-0005-0000-0000-000055090000}"/>
    <cellStyle name="SAPBEXexcBad7 4" xfId="2391" xr:uid="{00000000-0005-0000-0000-000056090000}"/>
    <cellStyle name="SAPBEXexcBad8" xfId="2392" xr:uid="{00000000-0005-0000-0000-000057090000}"/>
    <cellStyle name="SAPBEXexcBad8 2" xfId="2393" xr:uid="{00000000-0005-0000-0000-000058090000}"/>
    <cellStyle name="SAPBEXexcBad8 2 2" xfId="2394" xr:uid="{00000000-0005-0000-0000-000059090000}"/>
    <cellStyle name="SAPBEXexcBad8 3" xfId="2395" xr:uid="{00000000-0005-0000-0000-00005A090000}"/>
    <cellStyle name="SAPBEXexcBad8 3 2" xfId="2396" xr:uid="{00000000-0005-0000-0000-00005B090000}"/>
    <cellStyle name="SAPBEXexcBad8 4" xfId="2397" xr:uid="{00000000-0005-0000-0000-00005C090000}"/>
    <cellStyle name="SAPBEXexcBad9" xfId="2398" xr:uid="{00000000-0005-0000-0000-00005D090000}"/>
    <cellStyle name="SAPBEXexcBad9 2" xfId="2399" xr:uid="{00000000-0005-0000-0000-00005E090000}"/>
    <cellStyle name="SAPBEXexcBad9 2 2" xfId="2400" xr:uid="{00000000-0005-0000-0000-00005F090000}"/>
    <cellStyle name="SAPBEXexcBad9 3" xfId="2401" xr:uid="{00000000-0005-0000-0000-000060090000}"/>
    <cellStyle name="SAPBEXexcBad9 3 2" xfId="2402" xr:uid="{00000000-0005-0000-0000-000061090000}"/>
    <cellStyle name="SAPBEXexcBad9 4" xfId="2403" xr:uid="{00000000-0005-0000-0000-000062090000}"/>
    <cellStyle name="SAPBEXexcCritical4" xfId="2404" xr:uid="{00000000-0005-0000-0000-000063090000}"/>
    <cellStyle name="SAPBEXexcCritical4 2" xfId="2405" xr:uid="{00000000-0005-0000-0000-000064090000}"/>
    <cellStyle name="SAPBEXexcCritical4 2 2" xfId="2406" xr:uid="{00000000-0005-0000-0000-000065090000}"/>
    <cellStyle name="SAPBEXexcCritical4 3" xfId="2407" xr:uid="{00000000-0005-0000-0000-000066090000}"/>
    <cellStyle name="SAPBEXexcCritical4 3 2" xfId="2408" xr:uid="{00000000-0005-0000-0000-000067090000}"/>
    <cellStyle name="SAPBEXexcCritical4 4" xfId="2409" xr:uid="{00000000-0005-0000-0000-000068090000}"/>
    <cellStyle name="SAPBEXexcCritical5" xfId="2410" xr:uid="{00000000-0005-0000-0000-000069090000}"/>
    <cellStyle name="SAPBEXexcCritical5 2" xfId="2411" xr:uid="{00000000-0005-0000-0000-00006A090000}"/>
    <cellStyle name="SAPBEXexcCritical5 2 2" xfId="2412" xr:uid="{00000000-0005-0000-0000-00006B090000}"/>
    <cellStyle name="SAPBEXexcCritical5 3" xfId="2413" xr:uid="{00000000-0005-0000-0000-00006C090000}"/>
    <cellStyle name="SAPBEXexcCritical5 3 2" xfId="2414" xr:uid="{00000000-0005-0000-0000-00006D090000}"/>
    <cellStyle name="SAPBEXexcCritical5 4" xfId="2415" xr:uid="{00000000-0005-0000-0000-00006E090000}"/>
    <cellStyle name="SAPBEXexcCritical6" xfId="2416" xr:uid="{00000000-0005-0000-0000-00006F090000}"/>
    <cellStyle name="SAPBEXexcCritical6 2" xfId="2417" xr:uid="{00000000-0005-0000-0000-000070090000}"/>
    <cellStyle name="SAPBEXexcCritical6 2 2" xfId="2418" xr:uid="{00000000-0005-0000-0000-000071090000}"/>
    <cellStyle name="SAPBEXexcCritical6 3" xfId="2419" xr:uid="{00000000-0005-0000-0000-000072090000}"/>
    <cellStyle name="SAPBEXexcCritical6 3 2" xfId="2420" xr:uid="{00000000-0005-0000-0000-000073090000}"/>
    <cellStyle name="SAPBEXexcCritical6 4" xfId="2421" xr:uid="{00000000-0005-0000-0000-000074090000}"/>
    <cellStyle name="SAPBEXexcGood1" xfId="2422" xr:uid="{00000000-0005-0000-0000-000075090000}"/>
    <cellStyle name="SAPBEXexcGood1 2" xfId="2423" xr:uid="{00000000-0005-0000-0000-000076090000}"/>
    <cellStyle name="SAPBEXexcGood1 2 2" xfId="2424" xr:uid="{00000000-0005-0000-0000-000077090000}"/>
    <cellStyle name="SAPBEXexcGood1 3" xfId="2425" xr:uid="{00000000-0005-0000-0000-000078090000}"/>
    <cellStyle name="SAPBEXexcGood1 3 2" xfId="2426" xr:uid="{00000000-0005-0000-0000-000079090000}"/>
    <cellStyle name="SAPBEXexcGood1 4" xfId="2427" xr:uid="{00000000-0005-0000-0000-00007A090000}"/>
    <cellStyle name="SAPBEXexcGood2" xfId="2428" xr:uid="{00000000-0005-0000-0000-00007B090000}"/>
    <cellStyle name="SAPBEXexcGood2 2" xfId="2429" xr:uid="{00000000-0005-0000-0000-00007C090000}"/>
    <cellStyle name="SAPBEXexcGood2 2 2" xfId="2430" xr:uid="{00000000-0005-0000-0000-00007D090000}"/>
    <cellStyle name="SAPBEXexcGood2 3" xfId="2431" xr:uid="{00000000-0005-0000-0000-00007E090000}"/>
    <cellStyle name="SAPBEXexcGood2 3 2" xfId="2432" xr:uid="{00000000-0005-0000-0000-00007F090000}"/>
    <cellStyle name="SAPBEXexcGood2 4" xfId="2433" xr:uid="{00000000-0005-0000-0000-000080090000}"/>
    <cellStyle name="SAPBEXexcGood3" xfId="2434" xr:uid="{00000000-0005-0000-0000-000081090000}"/>
    <cellStyle name="SAPBEXexcGood3 2" xfId="2435" xr:uid="{00000000-0005-0000-0000-000082090000}"/>
    <cellStyle name="SAPBEXexcGood3 2 2" xfId="2436" xr:uid="{00000000-0005-0000-0000-000083090000}"/>
    <cellStyle name="SAPBEXexcGood3 3" xfId="2437" xr:uid="{00000000-0005-0000-0000-000084090000}"/>
    <cellStyle name="SAPBEXexcGood3 3 2" xfId="2438" xr:uid="{00000000-0005-0000-0000-000085090000}"/>
    <cellStyle name="SAPBEXexcGood3 4" xfId="2439" xr:uid="{00000000-0005-0000-0000-000086090000}"/>
    <cellStyle name="SAPBEXfilterDrill" xfId="2440" xr:uid="{00000000-0005-0000-0000-000087090000}"/>
    <cellStyle name="SAPBEXfilterDrill 2" xfId="2441" xr:uid="{00000000-0005-0000-0000-000088090000}"/>
    <cellStyle name="SAPBEXfilterDrill 3" xfId="2442" xr:uid="{00000000-0005-0000-0000-000089090000}"/>
    <cellStyle name="SAPBEXfilterDrill 4" xfId="2443" xr:uid="{00000000-0005-0000-0000-00008A090000}"/>
    <cellStyle name="SAPBEXfilterItem" xfId="2444" xr:uid="{00000000-0005-0000-0000-00008B090000}"/>
    <cellStyle name="SAPBEXfilterItem 2" xfId="2445" xr:uid="{00000000-0005-0000-0000-00008C090000}"/>
    <cellStyle name="SAPBEXfilterItem 3" xfId="2446" xr:uid="{00000000-0005-0000-0000-00008D090000}"/>
    <cellStyle name="SAPBEXfilterItem 4" xfId="2447" xr:uid="{00000000-0005-0000-0000-00008E090000}"/>
    <cellStyle name="SAPBEXfilterText" xfId="2448" xr:uid="{00000000-0005-0000-0000-00008F090000}"/>
    <cellStyle name="SAPBEXfilterText 2" xfId="2449" xr:uid="{00000000-0005-0000-0000-000090090000}"/>
    <cellStyle name="SAPBEXfilterText 3" xfId="2450" xr:uid="{00000000-0005-0000-0000-000091090000}"/>
    <cellStyle name="SAPBEXformats" xfId="2451" xr:uid="{00000000-0005-0000-0000-000092090000}"/>
    <cellStyle name="SAPBEXformats 2" xfId="2452" xr:uid="{00000000-0005-0000-0000-000093090000}"/>
    <cellStyle name="SAPBEXformats 2 2" xfId="2453" xr:uid="{00000000-0005-0000-0000-000094090000}"/>
    <cellStyle name="SAPBEXformats 3" xfId="2454" xr:uid="{00000000-0005-0000-0000-000095090000}"/>
    <cellStyle name="SAPBEXformats 3 2" xfId="2455" xr:uid="{00000000-0005-0000-0000-000096090000}"/>
    <cellStyle name="SAPBEXformats 4" xfId="2456" xr:uid="{00000000-0005-0000-0000-000097090000}"/>
    <cellStyle name="SAPBEXheaderItem" xfId="2457" xr:uid="{00000000-0005-0000-0000-000098090000}"/>
    <cellStyle name="SAPBEXheaderItem 2" xfId="2458" xr:uid="{00000000-0005-0000-0000-000099090000}"/>
    <cellStyle name="SAPBEXheaderItem 3" xfId="2459" xr:uid="{00000000-0005-0000-0000-00009A090000}"/>
    <cellStyle name="SAPBEXheaderItem 4" xfId="2460" xr:uid="{00000000-0005-0000-0000-00009B090000}"/>
    <cellStyle name="SAPBEXheaderText" xfId="2461" xr:uid="{00000000-0005-0000-0000-00009C090000}"/>
    <cellStyle name="SAPBEXheaderText 2" xfId="2462" xr:uid="{00000000-0005-0000-0000-00009D090000}"/>
    <cellStyle name="SAPBEXheaderText 3" xfId="2463" xr:uid="{00000000-0005-0000-0000-00009E090000}"/>
    <cellStyle name="SAPBEXheaderText 4" xfId="2464" xr:uid="{00000000-0005-0000-0000-00009F090000}"/>
    <cellStyle name="SAPBEXHLevel0" xfId="2465" xr:uid="{00000000-0005-0000-0000-0000A0090000}"/>
    <cellStyle name="SAPBEXHLevel0 2" xfId="2466" xr:uid="{00000000-0005-0000-0000-0000A1090000}"/>
    <cellStyle name="SAPBEXHLevel0 2 2" xfId="2467" xr:uid="{00000000-0005-0000-0000-0000A2090000}"/>
    <cellStyle name="SAPBEXHLevel0 3" xfId="2468" xr:uid="{00000000-0005-0000-0000-0000A3090000}"/>
    <cellStyle name="SAPBEXHLevel0 3 2" xfId="2469" xr:uid="{00000000-0005-0000-0000-0000A4090000}"/>
    <cellStyle name="SAPBEXHLevel0 4" xfId="2470" xr:uid="{00000000-0005-0000-0000-0000A5090000}"/>
    <cellStyle name="SAPBEXHLevel0X" xfId="2471" xr:uid="{00000000-0005-0000-0000-0000A6090000}"/>
    <cellStyle name="SAPBEXHLevel0X 2" xfId="2472" xr:uid="{00000000-0005-0000-0000-0000A7090000}"/>
    <cellStyle name="SAPBEXHLevel0X 2 2" xfId="2473" xr:uid="{00000000-0005-0000-0000-0000A8090000}"/>
    <cellStyle name="SAPBEXHLevel0X 3" xfId="2474" xr:uid="{00000000-0005-0000-0000-0000A9090000}"/>
    <cellStyle name="SAPBEXHLevel0X 3 2" xfId="2475" xr:uid="{00000000-0005-0000-0000-0000AA090000}"/>
    <cellStyle name="SAPBEXHLevel0X 4" xfId="2476" xr:uid="{00000000-0005-0000-0000-0000AB090000}"/>
    <cellStyle name="SAPBEXHLevel1" xfId="2477" xr:uid="{00000000-0005-0000-0000-0000AC090000}"/>
    <cellStyle name="SAPBEXHLevel1 2" xfId="2478" xr:uid="{00000000-0005-0000-0000-0000AD090000}"/>
    <cellStyle name="SAPBEXHLevel1 2 2" xfId="2479" xr:uid="{00000000-0005-0000-0000-0000AE090000}"/>
    <cellStyle name="SAPBEXHLevel1 3" xfId="2480" xr:uid="{00000000-0005-0000-0000-0000AF090000}"/>
    <cellStyle name="SAPBEXHLevel1 3 2" xfId="2481" xr:uid="{00000000-0005-0000-0000-0000B0090000}"/>
    <cellStyle name="SAPBEXHLevel1 4" xfId="2482" xr:uid="{00000000-0005-0000-0000-0000B1090000}"/>
    <cellStyle name="SAPBEXHLevel1X" xfId="2483" xr:uid="{00000000-0005-0000-0000-0000B2090000}"/>
    <cellStyle name="SAPBEXHLevel1X 2" xfId="2484" xr:uid="{00000000-0005-0000-0000-0000B3090000}"/>
    <cellStyle name="SAPBEXHLevel1X 2 2" xfId="2485" xr:uid="{00000000-0005-0000-0000-0000B4090000}"/>
    <cellStyle name="SAPBEXHLevel1X 3" xfId="2486" xr:uid="{00000000-0005-0000-0000-0000B5090000}"/>
    <cellStyle name="SAPBEXHLevel1X 3 2" xfId="2487" xr:uid="{00000000-0005-0000-0000-0000B6090000}"/>
    <cellStyle name="SAPBEXHLevel1X 4" xfId="2488" xr:uid="{00000000-0005-0000-0000-0000B7090000}"/>
    <cellStyle name="SAPBEXHLevel2" xfId="2489" xr:uid="{00000000-0005-0000-0000-0000B8090000}"/>
    <cellStyle name="SAPBEXHLevel2 2" xfId="2490" xr:uid="{00000000-0005-0000-0000-0000B9090000}"/>
    <cellStyle name="SAPBEXHLevel2 2 2" xfId="2491" xr:uid="{00000000-0005-0000-0000-0000BA090000}"/>
    <cellStyle name="SAPBEXHLevel2 3" xfId="2492" xr:uid="{00000000-0005-0000-0000-0000BB090000}"/>
    <cellStyle name="SAPBEXHLevel2 3 2" xfId="2493" xr:uid="{00000000-0005-0000-0000-0000BC090000}"/>
    <cellStyle name="SAPBEXHLevel2 4" xfId="2494" xr:uid="{00000000-0005-0000-0000-0000BD090000}"/>
    <cellStyle name="SAPBEXHLevel2X" xfId="2495" xr:uid="{00000000-0005-0000-0000-0000BE090000}"/>
    <cellStyle name="SAPBEXHLevel2X 2" xfId="2496" xr:uid="{00000000-0005-0000-0000-0000BF090000}"/>
    <cellStyle name="SAPBEXHLevel2X 2 2" xfId="2497" xr:uid="{00000000-0005-0000-0000-0000C0090000}"/>
    <cellStyle name="SAPBEXHLevel2X 3" xfId="2498" xr:uid="{00000000-0005-0000-0000-0000C1090000}"/>
    <cellStyle name="SAPBEXHLevel2X 3 2" xfId="2499" xr:uid="{00000000-0005-0000-0000-0000C2090000}"/>
    <cellStyle name="SAPBEXHLevel2X 4" xfId="2500" xr:uid="{00000000-0005-0000-0000-0000C3090000}"/>
    <cellStyle name="SAPBEXHLevel3" xfId="2501" xr:uid="{00000000-0005-0000-0000-0000C4090000}"/>
    <cellStyle name="SAPBEXHLevel3 2" xfId="2502" xr:uid="{00000000-0005-0000-0000-0000C5090000}"/>
    <cellStyle name="SAPBEXHLevel3 2 2" xfId="2503" xr:uid="{00000000-0005-0000-0000-0000C6090000}"/>
    <cellStyle name="SAPBEXHLevel3 3" xfId="2504" xr:uid="{00000000-0005-0000-0000-0000C7090000}"/>
    <cellStyle name="SAPBEXHLevel3 3 2" xfId="2505" xr:uid="{00000000-0005-0000-0000-0000C8090000}"/>
    <cellStyle name="SAPBEXHLevel3 4" xfId="2506" xr:uid="{00000000-0005-0000-0000-0000C9090000}"/>
    <cellStyle name="SAPBEXHLevel3X" xfId="2507" xr:uid="{00000000-0005-0000-0000-0000CA090000}"/>
    <cellStyle name="SAPBEXHLevel3X 2" xfId="2508" xr:uid="{00000000-0005-0000-0000-0000CB090000}"/>
    <cellStyle name="SAPBEXHLevel3X 2 2" xfId="2509" xr:uid="{00000000-0005-0000-0000-0000CC090000}"/>
    <cellStyle name="SAPBEXHLevel3X 3" xfId="2510" xr:uid="{00000000-0005-0000-0000-0000CD090000}"/>
    <cellStyle name="SAPBEXHLevel3X 3 2" xfId="2511" xr:uid="{00000000-0005-0000-0000-0000CE090000}"/>
    <cellStyle name="SAPBEXHLevel3X 4" xfId="2512" xr:uid="{00000000-0005-0000-0000-0000CF090000}"/>
    <cellStyle name="SAPBEXinputData" xfId="2513" xr:uid="{00000000-0005-0000-0000-0000D0090000}"/>
    <cellStyle name="SAPBEXinputData 2" xfId="2514" xr:uid="{00000000-0005-0000-0000-0000D1090000}"/>
    <cellStyle name="SAPBEXinputData 3" xfId="2515" xr:uid="{00000000-0005-0000-0000-0000D2090000}"/>
    <cellStyle name="SAPBEXItemHeader" xfId="2516" xr:uid="{00000000-0005-0000-0000-0000D3090000}"/>
    <cellStyle name="SAPBEXresData" xfId="2517" xr:uid="{00000000-0005-0000-0000-0000D4090000}"/>
    <cellStyle name="SAPBEXresData 2" xfId="2518" xr:uid="{00000000-0005-0000-0000-0000D5090000}"/>
    <cellStyle name="SAPBEXresData 2 2" xfId="2519" xr:uid="{00000000-0005-0000-0000-0000D6090000}"/>
    <cellStyle name="SAPBEXresData 3" xfId="2520" xr:uid="{00000000-0005-0000-0000-0000D7090000}"/>
    <cellStyle name="SAPBEXresData 3 2" xfId="2521" xr:uid="{00000000-0005-0000-0000-0000D8090000}"/>
    <cellStyle name="SAPBEXresData 4" xfId="2522" xr:uid="{00000000-0005-0000-0000-0000D9090000}"/>
    <cellStyle name="SAPBEXresDataEmph" xfId="2523" xr:uid="{00000000-0005-0000-0000-0000DA090000}"/>
    <cellStyle name="SAPBEXresDataEmph 2" xfId="2524" xr:uid="{00000000-0005-0000-0000-0000DB090000}"/>
    <cellStyle name="SAPBEXresDataEmph 2 2" xfId="2525" xr:uid="{00000000-0005-0000-0000-0000DC090000}"/>
    <cellStyle name="SAPBEXresDataEmph 3" xfId="2526" xr:uid="{00000000-0005-0000-0000-0000DD090000}"/>
    <cellStyle name="SAPBEXresDataEmph 3 2" xfId="2527" xr:uid="{00000000-0005-0000-0000-0000DE090000}"/>
    <cellStyle name="SAPBEXresDataEmph 4" xfId="2528" xr:uid="{00000000-0005-0000-0000-0000DF090000}"/>
    <cellStyle name="SAPBEXresItem" xfId="2529" xr:uid="{00000000-0005-0000-0000-0000E0090000}"/>
    <cellStyle name="SAPBEXresItem 2" xfId="2530" xr:uid="{00000000-0005-0000-0000-0000E1090000}"/>
    <cellStyle name="SAPBEXresItem 2 2" xfId="2531" xr:uid="{00000000-0005-0000-0000-0000E2090000}"/>
    <cellStyle name="SAPBEXresItem 3" xfId="2532" xr:uid="{00000000-0005-0000-0000-0000E3090000}"/>
    <cellStyle name="SAPBEXresItem 3 2" xfId="2533" xr:uid="{00000000-0005-0000-0000-0000E4090000}"/>
    <cellStyle name="SAPBEXresItem 4" xfId="2534" xr:uid="{00000000-0005-0000-0000-0000E5090000}"/>
    <cellStyle name="SAPBEXresItemX" xfId="2535" xr:uid="{00000000-0005-0000-0000-0000E6090000}"/>
    <cellStyle name="SAPBEXresItemX 2" xfId="2536" xr:uid="{00000000-0005-0000-0000-0000E7090000}"/>
    <cellStyle name="SAPBEXresItemX 2 2" xfId="2537" xr:uid="{00000000-0005-0000-0000-0000E8090000}"/>
    <cellStyle name="SAPBEXresItemX 3" xfId="2538" xr:uid="{00000000-0005-0000-0000-0000E9090000}"/>
    <cellStyle name="SAPBEXresItemX 3 2" xfId="2539" xr:uid="{00000000-0005-0000-0000-0000EA090000}"/>
    <cellStyle name="SAPBEXresItemX 4" xfId="2540" xr:uid="{00000000-0005-0000-0000-0000EB090000}"/>
    <cellStyle name="SAPBEXstdData" xfId="2541" xr:uid="{00000000-0005-0000-0000-0000EC090000}"/>
    <cellStyle name="SAPBEXstdData 2" xfId="2542" xr:uid="{00000000-0005-0000-0000-0000ED090000}"/>
    <cellStyle name="SAPBEXstdData 2 2" xfId="2543" xr:uid="{00000000-0005-0000-0000-0000EE090000}"/>
    <cellStyle name="SAPBEXstdData 3" xfId="2544" xr:uid="{00000000-0005-0000-0000-0000EF090000}"/>
    <cellStyle name="SAPBEXstdData 3 2" xfId="2545" xr:uid="{00000000-0005-0000-0000-0000F0090000}"/>
    <cellStyle name="SAPBEXstdData 4" xfId="2546" xr:uid="{00000000-0005-0000-0000-0000F1090000}"/>
    <cellStyle name="SAPBEXstdDataEmph" xfId="2547" xr:uid="{00000000-0005-0000-0000-0000F2090000}"/>
    <cellStyle name="SAPBEXstdDataEmph 2" xfId="2548" xr:uid="{00000000-0005-0000-0000-0000F3090000}"/>
    <cellStyle name="SAPBEXstdDataEmph 2 2" xfId="2549" xr:uid="{00000000-0005-0000-0000-0000F4090000}"/>
    <cellStyle name="SAPBEXstdDataEmph 3" xfId="2550" xr:uid="{00000000-0005-0000-0000-0000F5090000}"/>
    <cellStyle name="SAPBEXstdDataEmph 3 2" xfId="2551" xr:uid="{00000000-0005-0000-0000-0000F6090000}"/>
    <cellStyle name="SAPBEXstdDataEmph 4" xfId="2552" xr:uid="{00000000-0005-0000-0000-0000F7090000}"/>
    <cellStyle name="SAPBEXstdItem" xfId="2553" xr:uid="{00000000-0005-0000-0000-0000F8090000}"/>
    <cellStyle name="SAPBEXstdItem 2" xfId="2554" xr:uid="{00000000-0005-0000-0000-0000F9090000}"/>
    <cellStyle name="SAPBEXstdItem 2 2" xfId="2555" xr:uid="{00000000-0005-0000-0000-0000FA090000}"/>
    <cellStyle name="SAPBEXstdItem 3" xfId="2556" xr:uid="{00000000-0005-0000-0000-0000FB090000}"/>
    <cellStyle name="SAPBEXstdItem 3 2" xfId="2557" xr:uid="{00000000-0005-0000-0000-0000FC090000}"/>
    <cellStyle name="SAPBEXstdItem 4" xfId="2558" xr:uid="{00000000-0005-0000-0000-0000FD090000}"/>
    <cellStyle name="SAPBEXstdItemX" xfId="2559" xr:uid="{00000000-0005-0000-0000-0000FE090000}"/>
    <cellStyle name="SAPBEXstdItemX 2" xfId="2560" xr:uid="{00000000-0005-0000-0000-0000FF090000}"/>
    <cellStyle name="SAPBEXstdItemX 2 2" xfId="2561" xr:uid="{00000000-0005-0000-0000-0000000A0000}"/>
    <cellStyle name="SAPBEXstdItemX 3" xfId="2562" xr:uid="{00000000-0005-0000-0000-0000010A0000}"/>
    <cellStyle name="SAPBEXstdItemX 3 2" xfId="2563" xr:uid="{00000000-0005-0000-0000-0000020A0000}"/>
    <cellStyle name="SAPBEXstdItemX 4" xfId="2564" xr:uid="{00000000-0005-0000-0000-0000030A0000}"/>
    <cellStyle name="SAPBEXtitle" xfId="2565" xr:uid="{00000000-0005-0000-0000-0000040A0000}"/>
    <cellStyle name="SAPBEXtitle 2" xfId="2566" xr:uid="{00000000-0005-0000-0000-0000050A0000}"/>
    <cellStyle name="SAPBEXtitle 3" xfId="2567" xr:uid="{00000000-0005-0000-0000-0000060A0000}"/>
    <cellStyle name="SAPBEXunassignedItem" xfId="2568" xr:uid="{00000000-0005-0000-0000-0000070A0000}"/>
    <cellStyle name="SAPBEXundefined" xfId="2569" xr:uid="{00000000-0005-0000-0000-0000080A0000}"/>
    <cellStyle name="SAPBEXundefined 2" xfId="2570" xr:uid="{00000000-0005-0000-0000-0000090A0000}"/>
    <cellStyle name="SAPBEXundefined 2 2" xfId="2571" xr:uid="{00000000-0005-0000-0000-00000A0A0000}"/>
    <cellStyle name="SAPBEXundefined 3" xfId="2572" xr:uid="{00000000-0005-0000-0000-00000B0A0000}"/>
    <cellStyle name="SAPBEXundefined 3 2" xfId="2573" xr:uid="{00000000-0005-0000-0000-00000C0A0000}"/>
    <cellStyle name="SAPBEXundefined 4" xfId="2574" xr:uid="{00000000-0005-0000-0000-00000D0A0000}"/>
    <cellStyle name="SEM-BPS-data" xfId="2575" xr:uid="{00000000-0005-0000-0000-00000E0A0000}"/>
    <cellStyle name="SEM-BPS-head" xfId="2576" xr:uid="{00000000-0005-0000-0000-00000F0A0000}"/>
    <cellStyle name="SEM-BPS-headdata" xfId="2577" xr:uid="{00000000-0005-0000-0000-0000100A0000}"/>
    <cellStyle name="SEM-BPS-headkey" xfId="2578" xr:uid="{00000000-0005-0000-0000-0000110A0000}"/>
    <cellStyle name="SEM-BPS-input-on" xfId="2579" xr:uid="{00000000-0005-0000-0000-0000120A0000}"/>
    <cellStyle name="SEM-BPS-key" xfId="2580" xr:uid="{00000000-0005-0000-0000-0000130A0000}"/>
    <cellStyle name="SEM-BPS-sub1" xfId="2581" xr:uid="{00000000-0005-0000-0000-0000140A0000}"/>
    <cellStyle name="SEM-BPS-sub2" xfId="2582" xr:uid="{00000000-0005-0000-0000-0000150A0000}"/>
    <cellStyle name="SEM-BPS-total" xfId="2583" xr:uid="{00000000-0005-0000-0000-0000160A0000}"/>
    <cellStyle name="Sheet Title" xfId="2584" xr:uid="{00000000-0005-0000-0000-0000170A0000}"/>
    <cellStyle name="Show_Sell" xfId="2585" xr:uid="{00000000-0005-0000-0000-0000180A0000}"/>
    <cellStyle name="Standard_Anpassen der Amortisation" xfId="2586" xr:uid="{00000000-0005-0000-0000-0000190A0000}"/>
    <cellStyle name="Style 1" xfId="2587" xr:uid="{00000000-0005-0000-0000-00001A0A0000}"/>
    <cellStyle name="Table" xfId="2588" xr:uid="{00000000-0005-0000-0000-00001B0A0000}"/>
    <cellStyle name="Table Heading" xfId="2589" xr:uid="{00000000-0005-0000-0000-00001C0A0000}"/>
    <cellStyle name="Table Heading 2" xfId="2590" xr:uid="{00000000-0005-0000-0000-00001D0A0000}"/>
    <cellStyle name="Title_1" xfId="2591" xr:uid="{00000000-0005-0000-0000-00001E0A0000}"/>
    <cellStyle name="Total" xfId="2592" xr:uid="{00000000-0005-0000-0000-00001F0A0000}"/>
    <cellStyle name="Validation" xfId="2593" xr:uid="{00000000-0005-0000-0000-0000200A0000}"/>
    <cellStyle name="Warning Text" xfId="2594" xr:uid="{00000000-0005-0000-0000-0000210A0000}"/>
    <cellStyle name="white" xfId="2595" xr:uid="{00000000-0005-0000-0000-0000220A0000}"/>
    <cellStyle name="Wдhrung [0]_Compiling Utility Macros" xfId="2596" xr:uid="{00000000-0005-0000-0000-0000230A0000}"/>
    <cellStyle name="Wдhrung_Compiling Utility Macros" xfId="2597" xr:uid="{00000000-0005-0000-0000-0000240A0000}"/>
    <cellStyle name="YelNumbersCurr" xfId="2598" xr:uid="{00000000-0005-0000-0000-0000250A0000}"/>
    <cellStyle name="Акт" xfId="2599" xr:uid="{00000000-0005-0000-0000-0000260A0000}"/>
    <cellStyle name="АктМТСН" xfId="2600" xr:uid="{00000000-0005-0000-0000-0000270A0000}"/>
    <cellStyle name="АктМТСН 2" xfId="2601" xr:uid="{00000000-0005-0000-0000-0000280A0000}"/>
    <cellStyle name="АктМТСН 3" xfId="2602" xr:uid="{00000000-0005-0000-0000-0000290A0000}"/>
    <cellStyle name="АктМТСН 4" xfId="2603" xr:uid="{00000000-0005-0000-0000-00002A0A0000}"/>
    <cellStyle name="АктМТСН 5" xfId="2604" xr:uid="{00000000-0005-0000-0000-00002B0A0000}"/>
    <cellStyle name="Акцент1 10" xfId="2605" xr:uid="{00000000-0005-0000-0000-00002C0A0000}"/>
    <cellStyle name="Акцент1 11" xfId="2606" xr:uid="{00000000-0005-0000-0000-00002D0A0000}"/>
    <cellStyle name="Акцент1 12" xfId="2607" xr:uid="{00000000-0005-0000-0000-00002E0A0000}"/>
    <cellStyle name="Акцент1 13" xfId="2608" xr:uid="{00000000-0005-0000-0000-00002F0A0000}"/>
    <cellStyle name="Акцент1 14" xfId="2609" xr:uid="{00000000-0005-0000-0000-0000300A0000}"/>
    <cellStyle name="Акцент1 15" xfId="2610" xr:uid="{00000000-0005-0000-0000-0000310A0000}"/>
    <cellStyle name="Акцент1 2" xfId="2611" xr:uid="{00000000-0005-0000-0000-0000320A0000}"/>
    <cellStyle name="Акцент1 2 10" xfId="2612" xr:uid="{00000000-0005-0000-0000-0000330A0000}"/>
    <cellStyle name="Акцент1 2 11" xfId="2613" xr:uid="{00000000-0005-0000-0000-0000340A0000}"/>
    <cellStyle name="Акцент1 2 12" xfId="2614" xr:uid="{00000000-0005-0000-0000-0000350A0000}"/>
    <cellStyle name="Акцент1 2 2" xfId="2615" xr:uid="{00000000-0005-0000-0000-0000360A0000}"/>
    <cellStyle name="Акцент1 2 2 2" xfId="2616" xr:uid="{00000000-0005-0000-0000-0000370A0000}"/>
    <cellStyle name="Акцент1 2 3" xfId="2617" xr:uid="{00000000-0005-0000-0000-0000380A0000}"/>
    <cellStyle name="Акцент1 2 3 2" xfId="2618" xr:uid="{00000000-0005-0000-0000-0000390A0000}"/>
    <cellStyle name="Акцент1 2 4" xfId="2619" xr:uid="{00000000-0005-0000-0000-00003A0A0000}"/>
    <cellStyle name="Акцент1 2 4 2" xfId="2620" xr:uid="{00000000-0005-0000-0000-00003B0A0000}"/>
    <cellStyle name="Акцент1 2 5" xfId="2621" xr:uid="{00000000-0005-0000-0000-00003C0A0000}"/>
    <cellStyle name="Акцент1 2 5 2" xfId="2622" xr:uid="{00000000-0005-0000-0000-00003D0A0000}"/>
    <cellStyle name="Акцент1 2 6" xfId="2623" xr:uid="{00000000-0005-0000-0000-00003E0A0000}"/>
    <cellStyle name="Акцент1 2 6 2" xfId="2624" xr:uid="{00000000-0005-0000-0000-00003F0A0000}"/>
    <cellStyle name="Акцент1 2 7" xfId="2625" xr:uid="{00000000-0005-0000-0000-0000400A0000}"/>
    <cellStyle name="Акцент1 2 8" xfId="2626" xr:uid="{00000000-0005-0000-0000-0000410A0000}"/>
    <cellStyle name="Акцент1 2 9" xfId="2627" xr:uid="{00000000-0005-0000-0000-0000420A0000}"/>
    <cellStyle name="Акцент1 3" xfId="2628" xr:uid="{00000000-0005-0000-0000-0000430A0000}"/>
    <cellStyle name="Акцент1 3 2" xfId="2629" xr:uid="{00000000-0005-0000-0000-0000440A0000}"/>
    <cellStyle name="Акцент1 4" xfId="2630" xr:uid="{00000000-0005-0000-0000-0000450A0000}"/>
    <cellStyle name="Акцент1 5" xfId="2631" xr:uid="{00000000-0005-0000-0000-0000460A0000}"/>
    <cellStyle name="Акцент1 6" xfId="2632" xr:uid="{00000000-0005-0000-0000-0000470A0000}"/>
    <cellStyle name="Акцент1 7" xfId="2633" xr:uid="{00000000-0005-0000-0000-0000480A0000}"/>
    <cellStyle name="Акцент1 8" xfId="2634" xr:uid="{00000000-0005-0000-0000-0000490A0000}"/>
    <cellStyle name="Акцент1 9" xfId="2635" xr:uid="{00000000-0005-0000-0000-00004A0A0000}"/>
    <cellStyle name="Акцент2 10" xfId="2636" xr:uid="{00000000-0005-0000-0000-00004B0A0000}"/>
    <cellStyle name="Акцент2 11" xfId="2637" xr:uid="{00000000-0005-0000-0000-00004C0A0000}"/>
    <cellStyle name="Акцент2 12" xfId="2638" xr:uid="{00000000-0005-0000-0000-00004D0A0000}"/>
    <cellStyle name="Акцент2 13" xfId="2639" xr:uid="{00000000-0005-0000-0000-00004E0A0000}"/>
    <cellStyle name="Акцент2 14" xfId="2640" xr:uid="{00000000-0005-0000-0000-00004F0A0000}"/>
    <cellStyle name="Акцент2 15" xfId="2641" xr:uid="{00000000-0005-0000-0000-0000500A0000}"/>
    <cellStyle name="Акцент2 2" xfId="2642" xr:uid="{00000000-0005-0000-0000-0000510A0000}"/>
    <cellStyle name="Акцент2 2 10" xfId="2643" xr:uid="{00000000-0005-0000-0000-0000520A0000}"/>
    <cellStyle name="Акцент2 2 11" xfId="2644" xr:uid="{00000000-0005-0000-0000-0000530A0000}"/>
    <cellStyle name="Акцент2 2 12" xfId="2645" xr:uid="{00000000-0005-0000-0000-0000540A0000}"/>
    <cellStyle name="Акцент2 2 2" xfId="2646" xr:uid="{00000000-0005-0000-0000-0000550A0000}"/>
    <cellStyle name="Акцент2 2 2 2" xfId="2647" xr:uid="{00000000-0005-0000-0000-0000560A0000}"/>
    <cellStyle name="Акцент2 2 3" xfId="2648" xr:uid="{00000000-0005-0000-0000-0000570A0000}"/>
    <cellStyle name="Акцент2 2 3 2" xfId="2649" xr:uid="{00000000-0005-0000-0000-0000580A0000}"/>
    <cellStyle name="Акцент2 2 4" xfId="2650" xr:uid="{00000000-0005-0000-0000-0000590A0000}"/>
    <cellStyle name="Акцент2 2 4 2" xfId="2651" xr:uid="{00000000-0005-0000-0000-00005A0A0000}"/>
    <cellStyle name="Акцент2 2 5" xfId="2652" xr:uid="{00000000-0005-0000-0000-00005B0A0000}"/>
    <cellStyle name="Акцент2 2 5 2" xfId="2653" xr:uid="{00000000-0005-0000-0000-00005C0A0000}"/>
    <cellStyle name="Акцент2 2 6" xfId="2654" xr:uid="{00000000-0005-0000-0000-00005D0A0000}"/>
    <cellStyle name="Акцент2 2 6 2" xfId="2655" xr:uid="{00000000-0005-0000-0000-00005E0A0000}"/>
    <cellStyle name="Акцент2 2 7" xfId="2656" xr:uid="{00000000-0005-0000-0000-00005F0A0000}"/>
    <cellStyle name="Акцент2 2 8" xfId="2657" xr:uid="{00000000-0005-0000-0000-0000600A0000}"/>
    <cellStyle name="Акцент2 2 9" xfId="2658" xr:uid="{00000000-0005-0000-0000-0000610A0000}"/>
    <cellStyle name="Акцент2 3" xfId="2659" xr:uid="{00000000-0005-0000-0000-0000620A0000}"/>
    <cellStyle name="Акцент2 3 2" xfId="2660" xr:uid="{00000000-0005-0000-0000-0000630A0000}"/>
    <cellStyle name="Акцент2 4" xfId="2661" xr:uid="{00000000-0005-0000-0000-0000640A0000}"/>
    <cellStyle name="Акцент2 5" xfId="2662" xr:uid="{00000000-0005-0000-0000-0000650A0000}"/>
    <cellStyle name="Акцент2 6" xfId="2663" xr:uid="{00000000-0005-0000-0000-0000660A0000}"/>
    <cellStyle name="Акцент2 7" xfId="2664" xr:uid="{00000000-0005-0000-0000-0000670A0000}"/>
    <cellStyle name="Акцент2 8" xfId="2665" xr:uid="{00000000-0005-0000-0000-0000680A0000}"/>
    <cellStyle name="Акцент2 9" xfId="2666" xr:uid="{00000000-0005-0000-0000-0000690A0000}"/>
    <cellStyle name="Акцент3 10" xfId="2667" xr:uid="{00000000-0005-0000-0000-00006A0A0000}"/>
    <cellStyle name="Акцент3 11" xfId="2668" xr:uid="{00000000-0005-0000-0000-00006B0A0000}"/>
    <cellStyle name="Акцент3 12" xfId="2669" xr:uid="{00000000-0005-0000-0000-00006C0A0000}"/>
    <cellStyle name="Акцент3 13" xfId="2670" xr:uid="{00000000-0005-0000-0000-00006D0A0000}"/>
    <cellStyle name="Акцент3 14" xfId="2671" xr:uid="{00000000-0005-0000-0000-00006E0A0000}"/>
    <cellStyle name="Акцент3 15" xfId="2672" xr:uid="{00000000-0005-0000-0000-00006F0A0000}"/>
    <cellStyle name="Акцент3 2" xfId="2673" xr:uid="{00000000-0005-0000-0000-0000700A0000}"/>
    <cellStyle name="Акцент3 2 10" xfId="2674" xr:uid="{00000000-0005-0000-0000-0000710A0000}"/>
    <cellStyle name="Акцент3 2 11" xfId="2675" xr:uid="{00000000-0005-0000-0000-0000720A0000}"/>
    <cellStyle name="Акцент3 2 12" xfId="2676" xr:uid="{00000000-0005-0000-0000-0000730A0000}"/>
    <cellStyle name="Акцент3 2 2" xfId="2677" xr:uid="{00000000-0005-0000-0000-0000740A0000}"/>
    <cellStyle name="Акцент3 2 2 2" xfId="2678" xr:uid="{00000000-0005-0000-0000-0000750A0000}"/>
    <cellStyle name="Акцент3 2 3" xfId="2679" xr:uid="{00000000-0005-0000-0000-0000760A0000}"/>
    <cellStyle name="Акцент3 2 3 2" xfId="2680" xr:uid="{00000000-0005-0000-0000-0000770A0000}"/>
    <cellStyle name="Акцент3 2 4" xfId="2681" xr:uid="{00000000-0005-0000-0000-0000780A0000}"/>
    <cellStyle name="Акцент3 2 4 2" xfId="2682" xr:uid="{00000000-0005-0000-0000-0000790A0000}"/>
    <cellStyle name="Акцент3 2 5" xfId="2683" xr:uid="{00000000-0005-0000-0000-00007A0A0000}"/>
    <cellStyle name="Акцент3 2 5 2" xfId="2684" xr:uid="{00000000-0005-0000-0000-00007B0A0000}"/>
    <cellStyle name="Акцент3 2 6" xfId="2685" xr:uid="{00000000-0005-0000-0000-00007C0A0000}"/>
    <cellStyle name="Акцент3 2 6 2" xfId="2686" xr:uid="{00000000-0005-0000-0000-00007D0A0000}"/>
    <cellStyle name="Акцент3 2 7" xfId="2687" xr:uid="{00000000-0005-0000-0000-00007E0A0000}"/>
    <cellStyle name="Акцент3 2 8" xfId="2688" xr:uid="{00000000-0005-0000-0000-00007F0A0000}"/>
    <cellStyle name="Акцент3 2 9" xfId="2689" xr:uid="{00000000-0005-0000-0000-0000800A0000}"/>
    <cellStyle name="Акцент3 3" xfId="2690" xr:uid="{00000000-0005-0000-0000-0000810A0000}"/>
    <cellStyle name="Акцент3 3 2" xfId="2691" xr:uid="{00000000-0005-0000-0000-0000820A0000}"/>
    <cellStyle name="Акцент3 4" xfId="2692" xr:uid="{00000000-0005-0000-0000-0000830A0000}"/>
    <cellStyle name="Акцент3 5" xfId="2693" xr:uid="{00000000-0005-0000-0000-0000840A0000}"/>
    <cellStyle name="Акцент3 6" xfId="2694" xr:uid="{00000000-0005-0000-0000-0000850A0000}"/>
    <cellStyle name="Акцент3 7" xfId="2695" xr:uid="{00000000-0005-0000-0000-0000860A0000}"/>
    <cellStyle name="Акцент3 8" xfId="2696" xr:uid="{00000000-0005-0000-0000-0000870A0000}"/>
    <cellStyle name="Акцент3 9" xfId="2697" xr:uid="{00000000-0005-0000-0000-0000880A0000}"/>
    <cellStyle name="Акцент4 10" xfId="2698" xr:uid="{00000000-0005-0000-0000-0000890A0000}"/>
    <cellStyle name="Акцент4 11" xfId="2699" xr:uid="{00000000-0005-0000-0000-00008A0A0000}"/>
    <cellStyle name="Акцент4 12" xfId="2700" xr:uid="{00000000-0005-0000-0000-00008B0A0000}"/>
    <cellStyle name="Акцент4 13" xfId="2701" xr:uid="{00000000-0005-0000-0000-00008C0A0000}"/>
    <cellStyle name="Акцент4 14" xfId="2702" xr:uid="{00000000-0005-0000-0000-00008D0A0000}"/>
    <cellStyle name="Акцент4 15" xfId="2703" xr:uid="{00000000-0005-0000-0000-00008E0A0000}"/>
    <cellStyle name="Акцент4 2" xfId="2704" xr:uid="{00000000-0005-0000-0000-00008F0A0000}"/>
    <cellStyle name="Акцент4 2 10" xfId="2705" xr:uid="{00000000-0005-0000-0000-0000900A0000}"/>
    <cellStyle name="Акцент4 2 11" xfId="2706" xr:uid="{00000000-0005-0000-0000-0000910A0000}"/>
    <cellStyle name="Акцент4 2 12" xfId="2707" xr:uid="{00000000-0005-0000-0000-0000920A0000}"/>
    <cellStyle name="Акцент4 2 2" xfId="2708" xr:uid="{00000000-0005-0000-0000-0000930A0000}"/>
    <cellStyle name="Акцент4 2 2 2" xfId="2709" xr:uid="{00000000-0005-0000-0000-0000940A0000}"/>
    <cellStyle name="Акцент4 2 3" xfId="2710" xr:uid="{00000000-0005-0000-0000-0000950A0000}"/>
    <cellStyle name="Акцент4 2 3 2" xfId="2711" xr:uid="{00000000-0005-0000-0000-0000960A0000}"/>
    <cellStyle name="Акцент4 2 4" xfId="2712" xr:uid="{00000000-0005-0000-0000-0000970A0000}"/>
    <cellStyle name="Акцент4 2 4 2" xfId="2713" xr:uid="{00000000-0005-0000-0000-0000980A0000}"/>
    <cellStyle name="Акцент4 2 5" xfId="2714" xr:uid="{00000000-0005-0000-0000-0000990A0000}"/>
    <cellStyle name="Акцент4 2 5 2" xfId="2715" xr:uid="{00000000-0005-0000-0000-00009A0A0000}"/>
    <cellStyle name="Акцент4 2 6" xfId="2716" xr:uid="{00000000-0005-0000-0000-00009B0A0000}"/>
    <cellStyle name="Акцент4 2 6 2" xfId="2717" xr:uid="{00000000-0005-0000-0000-00009C0A0000}"/>
    <cellStyle name="Акцент4 2 7" xfId="2718" xr:uid="{00000000-0005-0000-0000-00009D0A0000}"/>
    <cellStyle name="Акцент4 2 8" xfId="2719" xr:uid="{00000000-0005-0000-0000-00009E0A0000}"/>
    <cellStyle name="Акцент4 2 9" xfId="2720" xr:uid="{00000000-0005-0000-0000-00009F0A0000}"/>
    <cellStyle name="Акцент4 3" xfId="2721" xr:uid="{00000000-0005-0000-0000-0000A00A0000}"/>
    <cellStyle name="Акцент4 3 2" xfId="2722" xr:uid="{00000000-0005-0000-0000-0000A10A0000}"/>
    <cellStyle name="Акцент4 4" xfId="2723" xr:uid="{00000000-0005-0000-0000-0000A20A0000}"/>
    <cellStyle name="Акцент4 5" xfId="2724" xr:uid="{00000000-0005-0000-0000-0000A30A0000}"/>
    <cellStyle name="Акцент4 6" xfId="2725" xr:uid="{00000000-0005-0000-0000-0000A40A0000}"/>
    <cellStyle name="Акцент4 7" xfId="2726" xr:uid="{00000000-0005-0000-0000-0000A50A0000}"/>
    <cellStyle name="Акцент4 8" xfId="2727" xr:uid="{00000000-0005-0000-0000-0000A60A0000}"/>
    <cellStyle name="Акцент4 9" xfId="2728" xr:uid="{00000000-0005-0000-0000-0000A70A0000}"/>
    <cellStyle name="Акцент5 10" xfId="2729" xr:uid="{00000000-0005-0000-0000-0000A80A0000}"/>
    <cellStyle name="Акцент5 11" xfId="2730" xr:uid="{00000000-0005-0000-0000-0000A90A0000}"/>
    <cellStyle name="Акцент5 12" xfId="2731" xr:uid="{00000000-0005-0000-0000-0000AA0A0000}"/>
    <cellStyle name="Акцент5 13" xfId="2732" xr:uid="{00000000-0005-0000-0000-0000AB0A0000}"/>
    <cellStyle name="Акцент5 14" xfId="2733" xr:uid="{00000000-0005-0000-0000-0000AC0A0000}"/>
    <cellStyle name="Акцент5 15" xfId="2734" xr:uid="{00000000-0005-0000-0000-0000AD0A0000}"/>
    <cellStyle name="Акцент5 2" xfId="2735" xr:uid="{00000000-0005-0000-0000-0000AE0A0000}"/>
    <cellStyle name="Акцент5 2 10" xfId="2736" xr:uid="{00000000-0005-0000-0000-0000AF0A0000}"/>
    <cellStyle name="Акцент5 2 11" xfId="2737" xr:uid="{00000000-0005-0000-0000-0000B00A0000}"/>
    <cellStyle name="Акцент5 2 12" xfId="2738" xr:uid="{00000000-0005-0000-0000-0000B10A0000}"/>
    <cellStyle name="Акцент5 2 2" xfId="2739" xr:uid="{00000000-0005-0000-0000-0000B20A0000}"/>
    <cellStyle name="Акцент5 2 2 2" xfId="2740" xr:uid="{00000000-0005-0000-0000-0000B30A0000}"/>
    <cellStyle name="Акцент5 2 3" xfId="2741" xr:uid="{00000000-0005-0000-0000-0000B40A0000}"/>
    <cellStyle name="Акцент5 2 3 2" xfId="2742" xr:uid="{00000000-0005-0000-0000-0000B50A0000}"/>
    <cellStyle name="Акцент5 2 4" xfId="2743" xr:uid="{00000000-0005-0000-0000-0000B60A0000}"/>
    <cellStyle name="Акцент5 2 4 2" xfId="2744" xr:uid="{00000000-0005-0000-0000-0000B70A0000}"/>
    <cellStyle name="Акцент5 2 5" xfId="2745" xr:uid="{00000000-0005-0000-0000-0000B80A0000}"/>
    <cellStyle name="Акцент5 2 5 2" xfId="2746" xr:uid="{00000000-0005-0000-0000-0000B90A0000}"/>
    <cellStyle name="Акцент5 2 6" xfId="2747" xr:uid="{00000000-0005-0000-0000-0000BA0A0000}"/>
    <cellStyle name="Акцент5 2 6 2" xfId="2748" xr:uid="{00000000-0005-0000-0000-0000BB0A0000}"/>
    <cellStyle name="Акцент5 2 7" xfId="2749" xr:uid="{00000000-0005-0000-0000-0000BC0A0000}"/>
    <cellStyle name="Акцент5 2 8" xfId="2750" xr:uid="{00000000-0005-0000-0000-0000BD0A0000}"/>
    <cellStyle name="Акцент5 2 9" xfId="2751" xr:uid="{00000000-0005-0000-0000-0000BE0A0000}"/>
    <cellStyle name="Акцент5 3" xfId="2752" xr:uid="{00000000-0005-0000-0000-0000BF0A0000}"/>
    <cellStyle name="Акцент5 3 2" xfId="2753" xr:uid="{00000000-0005-0000-0000-0000C00A0000}"/>
    <cellStyle name="Акцент5 4" xfId="2754" xr:uid="{00000000-0005-0000-0000-0000C10A0000}"/>
    <cellStyle name="Акцент5 5" xfId="2755" xr:uid="{00000000-0005-0000-0000-0000C20A0000}"/>
    <cellStyle name="Акцент5 6" xfId="2756" xr:uid="{00000000-0005-0000-0000-0000C30A0000}"/>
    <cellStyle name="Акцент5 7" xfId="2757" xr:uid="{00000000-0005-0000-0000-0000C40A0000}"/>
    <cellStyle name="Акцент5 8" xfId="2758" xr:uid="{00000000-0005-0000-0000-0000C50A0000}"/>
    <cellStyle name="Акцент5 9" xfId="2759" xr:uid="{00000000-0005-0000-0000-0000C60A0000}"/>
    <cellStyle name="Акцент6 10" xfId="2760" xr:uid="{00000000-0005-0000-0000-0000C70A0000}"/>
    <cellStyle name="Акцент6 11" xfId="2761" xr:uid="{00000000-0005-0000-0000-0000C80A0000}"/>
    <cellStyle name="Акцент6 12" xfId="2762" xr:uid="{00000000-0005-0000-0000-0000C90A0000}"/>
    <cellStyle name="Акцент6 13" xfId="2763" xr:uid="{00000000-0005-0000-0000-0000CA0A0000}"/>
    <cellStyle name="Акцент6 14" xfId="2764" xr:uid="{00000000-0005-0000-0000-0000CB0A0000}"/>
    <cellStyle name="Акцент6 15" xfId="2765" xr:uid="{00000000-0005-0000-0000-0000CC0A0000}"/>
    <cellStyle name="Акцент6 2" xfId="2766" xr:uid="{00000000-0005-0000-0000-0000CD0A0000}"/>
    <cellStyle name="Акцент6 2 10" xfId="2767" xr:uid="{00000000-0005-0000-0000-0000CE0A0000}"/>
    <cellStyle name="Акцент6 2 11" xfId="2768" xr:uid="{00000000-0005-0000-0000-0000CF0A0000}"/>
    <cellStyle name="Акцент6 2 12" xfId="2769" xr:uid="{00000000-0005-0000-0000-0000D00A0000}"/>
    <cellStyle name="Акцент6 2 2" xfId="2770" xr:uid="{00000000-0005-0000-0000-0000D10A0000}"/>
    <cellStyle name="Акцент6 2 2 2" xfId="2771" xr:uid="{00000000-0005-0000-0000-0000D20A0000}"/>
    <cellStyle name="Акцент6 2 3" xfId="2772" xr:uid="{00000000-0005-0000-0000-0000D30A0000}"/>
    <cellStyle name="Акцент6 2 3 2" xfId="2773" xr:uid="{00000000-0005-0000-0000-0000D40A0000}"/>
    <cellStyle name="Акцент6 2 4" xfId="2774" xr:uid="{00000000-0005-0000-0000-0000D50A0000}"/>
    <cellStyle name="Акцент6 2 4 2" xfId="2775" xr:uid="{00000000-0005-0000-0000-0000D60A0000}"/>
    <cellStyle name="Акцент6 2 5" xfId="2776" xr:uid="{00000000-0005-0000-0000-0000D70A0000}"/>
    <cellStyle name="Акцент6 2 5 2" xfId="2777" xr:uid="{00000000-0005-0000-0000-0000D80A0000}"/>
    <cellStyle name="Акцент6 2 6" xfId="2778" xr:uid="{00000000-0005-0000-0000-0000D90A0000}"/>
    <cellStyle name="Акцент6 2 6 2" xfId="2779" xr:uid="{00000000-0005-0000-0000-0000DA0A0000}"/>
    <cellStyle name="Акцент6 2 7" xfId="2780" xr:uid="{00000000-0005-0000-0000-0000DB0A0000}"/>
    <cellStyle name="Акцент6 2 8" xfId="2781" xr:uid="{00000000-0005-0000-0000-0000DC0A0000}"/>
    <cellStyle name="Акцент6 2 9" xfId="2782" xr:uid="{00000000-0005-0000-0000-0000DD0A0000}"/>
    <cellStyle name="Акцент6 3" xfId="2783" xr:uid="{00000000-0005-0000-0000-0000DE0A0000}"/>
    <cellStyle name="Акцент6 3 2" xfId="2784" xr:uid="{00000000-0005-0000-0000-0000DF0A0000}"/>
    <cellStyle name="Акцент6 4" xfId="2785" xr:uid="{00000000-0005-0000-0000-0000E00A0000}"/>
    <cellStyle name="Акцент6 5" xfId="2786" xr:uid="{00000000-0005-0000-0000-0000E10A0000}"/>
    <cellStyle name="Акцент6 6" xfId="2787" xr:uid="{00000000-0005-0000-0000-0000E20A0000}"/>
    <cellStyle name="Акцент6 7" xfId="2788" xr:uid="{00000000-0005-0000-0000-0000E30A0000}"/>
    <cellStyle name="Акцент6 8" xfId="2789" xr:uid="{00000000-0005-0000-0000-0000E40A0000}"/>
    <cellStyle name="Акцент6 9" xfId="2790" xr:uid="{00000000-0005-0000-0000-0000E50A0000}"/>
    <cellStyle name="Беззащитный" xfId="2791" xr:uid="{00000000-0005-0000-0000-0000E60A0000}"/>
    <cellStyle name="Беззащитный 2" xfId="2792" xr:uid="{00000000-0005-0000-0000-0000E70A0000}"/>
    <cellStyle name="Ввод  10" xfId="2793" xr:uid="{00000000-0005-0000-0000-0000E80A0000}"/>
    <cellStyle name="Ввод  11" xfId="2794" xr:uid="{00000000-0005-0000-0000-0000E90A0000}"/>
    <cellStyle name="Ввод  12" xfId="2795" xr:uid="{00000000-0005-0000-0000-0000EA0A0000}"/>
    <cellStyle name="Ввод  13" xfId="2796" xr:uid="{00000000-0005-0000-0000-0000EB0A0000}"/>
    <cellStyle name="Ввод  14" xfId="2797" xr:uid="{00000000-0005-0000-0000-0000EC0A0000}"/>
    <cellStyle name="Ввод  15" xfId="2798" xr:uid="{00000000-0005-0000-0000-0000ED0A0000}"/>
    <cellStyle name="Ввод  16" xfId="2799" xr:uid="{00000000-0005-0000-0000-0000EE0A0000}"/>
    <cellStyle name="Ввод  2" xfId="2800" xr:uid="{00000000-0005-0000-0000-0000EF0A0000}"/>
    <cellStyle name="Ввод  2 10" xfId="2801" xr:uid="{00000000-0005-0000-0000-0000F00A0000}"/>
    <cellStyle name="Ввод  2 11" xfId="2802" xr:uid="{00000000-0005-0000-0000-0000F10A0000}"/>
    <cellStyle name="Ввод  2 12" xfId="2803" xr:uid="{00000000-0005-0000-0000-0000F20A0000}"/>
    <cellStyle name="Ввод  2 13" xfId="2804" xr:uid="{00000000-0005-0000-0000-0000F30A0000}"/>
    <cellStyle name="Ввод  2 2" xfId="2805" xr:uid="{00000000-0005-0000-0000-0000F40A0000}"/>
    <cellStyle name="Ввод  2 2 2" xfId="2806" xr:uid="{00000000-0005-0000-0000-0000F50A0000}"/>
    <cellStyle name="Ввод  2 2 3" xfId="2807" xr:uid="{00000000-0005-0000-0000-0000F60A0000}"/>
    <cellStyle name="Ввод  2 3" xfId="2808" xr:uid="{00000000-0005-0000-0000-0000F70A0000}"/>
    <cellStyle name="Ввод  2 3 2" xfId="2809" xr:uid="{00000000-0005-0000-0000-0000F80A0000}"/>
    <cellStyle name="Ввод  2 3 3" xfId="2810" xr:uid="{00000000-0005-0000-0000-0000F90A0000}"/>
    <cellStyle name="Ввод  2 4" xfId="2811" xr:uid="{00000000-0005-0000-0000-0000FA0A0000}"/>
    <cellStyle name="Ввод  2 4 2" xfId="2812" xr:uid="{00000000-0005-0000-0000-0000FB0A0000}"/>
    <cellStyle name="Ввод  2 4 3" xfId="2813" xr:uid="{00000000-0005-0000-0000-0000FC0A0000}"/>
    <cellStyle name="Ввод  2 5" xfId="2814" xr:uid="{00000000-0005-0000-0000-0000FD0A0000}"/>
    <cellStyle name="Ввод  2 5 2" xfId="2815" xr:uid="{00000000-0005-0000-0000-0000FE0A0000}"/>
    <cellStyle name="Ввод  2 5 3" xfId="2816" xr:uid="{00000000-0005-0000-0000-0000FF0A0000}"/>
    <cellStyle name="Ввод  2 6" xfId="2817" xr:uid="{00000000-0005-0000-0000-0000000B0000}"/>
    <cellStyle name="Ввод  2 6 2" xfId="2818" xr:uid="{00000000-0005-0000-0000-0000010B0000}"/>
    <cellStyle name="Ввод  2 7" xfId="2819" xr:uid="{00000000-0005-0000-0000-0000020B0000}"/>
    <cellStyle name="Ввод  2 7 2" xfId="2820" xr:uid="{00000000-0005-0000-0000-0000030B0000}"/>
    <cellStyle name="Ввод  2 8" xfId="2821" xr:uid="{00000000-0005-0000-0000-0000040B0000}"/>
    <cellStyle name="Ввод  2 9" xfId="2822" xr:uid="{00000000-0005-0000-0000-0000050B0000}"/>
    <cellStyle name="Ввод  2_Xl0000305" xfId="2823" xr:uid="{00000000-0005-0000-0000-0000060B0000}"/>
    <cellStyle name="Ввод  3" xfId="2824" xr:uid="{00000000-0005-0000-0000-0000070B0000}"/>
    <cellStyle name="Ввод  3 2" xfId="2825" xr:uid="{00000000-0005-0000-0000-0000080B0000}"/>
    <cellStyle name="Ввод  3 2 2" xfId="2826" xr:uid="{00000000-0005-0000-0000-0000090B0000}"/>
    <cellStyle name="Ввод  4" xfId="2827" xr:uid="{00000000-0005-0000-0000-00000A0B0000}"/>
    <cellStyle name="Ввод  5" xfId="2828" xr:uid="{00000000-0005-0000-0000-00000B0B0000}"/>
    <cellStyle name="Ввод  6" xfId="2829" xr:uid="{00000000-0005-0000-0000-00000C0B0000}"/>
    <cellStyle name="Ввод  7" xfId="2830" xr:uid="{00000000-0005-0000-0000-00000D0B0000}"/>
    <cellStyle name="Ввод  8" xfId="2831" xr:uid="{00000000-0005-0000-0000-00000E0B0000}"/>
    <cellStyle name="Ввод  9" xfId="2832" xr:uid="{00000000-0005-0000-0000-00000F0B0000}"/>
    <cellStyle name="ВедРесурсов" xfId="2833" xr:uid="{00000000-0005-0000-0000-0000100B0000}"/>
    <cellStyle name="ВедРесурсовАкт" xfId="2834" xr:uid="{00000000-0005-0000-0000-0000110B0000}"/>
    <cellStyle name="Внешняя сылка" xfId="2835" xr:uid="{00000000-0005-0000-0000-0000120B0000}"/>
    <cellStyle name="Вывод 10" xfId="2836" xr:uid="{00000000-0005-0000-0000-0000130B0000}"/>
    <cellStyle name="Вывод 11" xfId="2837" xr:uid="{00000000-0005-0000-0000-0000140B0000}"/>
    <cellStyle name="Вывод 12" xfId="2838" xr:uid="{00000000-0005-0000-0000-0000150B0000}"/>
    <cellStyle name="Вывод 13" xfId="2839" xr:uid="{00000000-0005-0000-0000-0000160B0000}"/>
    <cellStyle name="Вывод 14" xfId="2840" xr:uid="{00000000-0005-0000-0000-0000170B0000}"/>
    <cellStyle name="Вывод 15" xfId="2841" xr:uid="{00000000-0005-0000-0000-0000180B0000}"/>
    <cellStyle name="Вывод 16" xfId="2842" xr:uid="{00000000-0005-0000-0000-0000190B0000}"/>
    <cellStyle name="Вывод 2" xfId="2843" xr:uid="{00000000-0005-0000-0000-00001A0B0000}"/>
    <cellStyle name="Вывод 2 10" xfId="2844" xr:uid="{00000000-0005-0000-0000-00001B0B0000}"/>
    <cellStyle name="Вывод 2 11" xfId="2845" xr:uid="{00000000-0005-0000-0000-00001C0B0000}"/>
    <cellStyle name="Вывод 2 12" xfId="2846" xr:uid="{00000000-0005-0000-0000-00001D0B0000}"/>
    <cellStyle name="Вывод 2 13" xfId="2847" xr:uid="{00000000-0005-0000-0000-00001E0B0000}"/>
    <cellStyle name="Вывод 2 2" xfId="2848" xr:uid="{00000000-0005-0000-0000-00001F0B0000}"/>
    <cellStyle name="Вывод 2 2 2" xfId="2849" xr:uid="{00000000-0005-0000-0000-0000200B0000}"/>
    <cellStyle name="Вывод 2 2 3" xfId="2850" xr:uid="{00000000-0005-0000-0000-0000210B0000}"/>
    <cellStyle name="Вывод 2 3" xfId="2851" xr:uid="{00000000-0005-0000-0000-0000220B0000}"/>
    <cellStyle name="Вывод 2 3 2" xfId="2852" xr:uid="{00000000-0005-0000-0000-0000230B0000}"/>
    <cellStyle name="Вывод 2 3 3" xfId="2853" xr:uid="{00000000-0005-0000-0000-0000240B0000}"/>
    <cellStyle name="Вывод 2 4" xfId="2854" xr:uid="{00000000-0005-0000-0000-0000250B0000}"/>
    <cellStyle name="Вывод 2 4 2" xfId="2855" xr:uid="{00000000-0005-0000-0000-0000260B0000}"/>
    <cellStyle name="Вывод 2 4 3" xfId="2856" xr:uid="{00000000-0005-0000-0000-0000270B0000}"/>
    <cellStyle name="Вывод 2 5" xfId="2857" xr:uid="{00000000-0005-0000-0000-0000280B0000}"/>
    <cellStyle name="Вывод 2 5 2" xfId="2858" xr:uid="{00000000-0005-0000-0000-0000290B0000}"/>
    <cellStyle name="Вывод 2 5 3" xfId="2859" xr:uid="{00000000-0005-0000-0000-00002A0B0000}"/>
    <cellStyle name="Вывод 2 6" xfId="2860" xr:uid="{00000000-0005-0000-0000-00002B0B0000}"/>
    <cellStyle name="Вывод 2 6 2" xfId="2861" xr:uid="{00000000-0005-0000-0000-00002C0B0000}"/>
    <cellStyle name="Вывод 2 7" xfId="2862" xr:uid="{00000000-0005-0000-0000-00002D0B0000}"/>
    <cellStyle name="Вывод 2 7 2" xfId="2863" xr:uid="{00000000-0005-0000-0000-00002E0B0000}"/>
    <cellStyle name="Вывод 2 8" xfId="2864" xr:uid="{00000000-0005-0000-0000-00002F0B0000}"/>
    <cellStyle name="Вывод 2 9" xfId="2865" xr:uid="{00000000-0005-0000-0000-0000300B0000}"/>
    <cellStyle name="Вывод 2_Xl0000305" xfId="2866" xr:uid="{00000000-0005-0000-0000-0000310B0000}"/>
    <cellStyle name="Вывод 3" xfId="2867" xr:uid="{00000000-0005-0000-0000-0000320B0000}"/>
    <cellStyle name="Вывод 3 2" xfId="2868" xr:uid="{00000000-0005-0000-0000-0000330B0000}"/>
    <cellStyle name="Вывод 3 2 2" xfId="2869" xr:uid="{00000000-0005-0000-0000-0000340B0000}"/>
    <cellStyle name="Вывод 4" xfId="2870" xr:uid="{00000000-0005-0000-0000-0000350B0000}"/>
    <cellStyle name="Вывод 5" xfId="2871" xr:uid="{00000000-0005-0000-0000-0000360B0000}"/>
    <cellStyle name="Вывод 6" xfId="2872" xr:uid="{00000000-0005-0000-0000-0000370B0000}"/>
    <cellStyle name="Вывод 7" xfId="2873" xr:uid="{00000000-0005-0000-0000-0000380B0000}"/>
    <cellStyle name="Вывод 8" xfId="2874" xr:uid="{00000000-0005-0000-0000-0000390B0000}"/>
    <cellStyle name="Вывод 9" xfId="2875" xr:uid="{00000000-0005-0000-0000-00003A0B0000}"/>
    <cellStyle name="Вычисление 10" xfId="2876" xr:uid="{00000000-0005-0000-0000-00003B0B0000}"/>
    <cellStyle name="Вычисление 11" xfId="2877" xr:uid="{00000000-0005-0000-0000-00003C0B0000}"/>
    <cellStyle name="Вычисление 12" xfId="2878" xr:uid="{00000000-0005-0000-0000-00003D0B0000}"/>
    <cellStyle name="Вычисление 13" xfId="2879" xr:uid="{00000000-0005-0000-0000-00003E0B0000}"/>
    <cellStyle name="Вычисление 14" xfId="2880" xr:uid="{00000000-0005-0000-0000-00003F0B0000}"/>
    <cellStyle name="Вычисление 15" xfId="2881" xr:uid="{00000000-0005-0000-0000-0000400B0000}"/>
    <cellStyle name="Вычисление 16" xfId="2882" xr:uid="{00000000-0005-0000-0000-0000410B0000}"/>
    <cellStyle name="Вычисление 2" xfId="2883" xr:uid="{00000000-0005-0000-0000-0000420B0000}"/>
    <cellStyle name="Вычисление 2 10" xfId="2884" xr:uid="{00000000-0005-0000-0000-0000430B0000}"/>
    <cellStyle name="Вычисление 2 11" xfId="2885" xr:uid="{00000000-0005-0000-0000-0000440B0000}"/>
    <cellStyle name="Вычисление 2 12" xfId="2886" xr:uid="{00000000-0005-0000-0000-0000450B0000}"/>
    <cellStyle name="Вычисление 2 13" xfId="2887" xr:uid="{00000000-0005-0000-0000-0000460B0000}"/>
    <cellStyle name="Вычисление 2 2" xfId="2888" xr:uid="{00000000-0005-0000-0000-0000470B0000}"/>
    <cellStyle name="Вычисление 2 2 2" xfId="2889" xr:uid="{00000000-0005-0000-0000-0000480B0000}"/>
    <cellStyle name="Вычисление 2 2 3" xfId="2890" xr:uid="{00000000-0005-0000-0000-0000490B0000}"/>
    <cellStyle name="Вычисление 2 3" xfId="2891" xr:uid="{00000000-0005-0000-0000-00004A0B0000}"/>
    <cellStyle name="Вычисление 2 3 2" xfId="2892" xr:uid="{00000000-0005-0000-0000-00004B0B0000}"/>
    <cellStyle name="Вычисление 2 3 3" xfId="2893" xr:uid="{00000000-0005-0000-0000-00004C0B0000}"/>
    <cellStyle name="Вычисление 2 4" xfId="2894" xr:uid="{00000000-0005-0000-0000-00004D0B0000}"/>
    <cellStyle name="Вычисление 2 4 2" xfId="2895" xr:uid="{00000000-0005-0000-0000-00004E0B0000}"/>
    <cellStyle name="Вычисление 2 4 3" xfId="2896" xr:uid="{00000000-0005-0000-0000-00004F0B0000}"/>
    <cellStyle name="Вычисление 2 5" xfId="2897" xr:uid="{00000000-0005-0000-0000-0000500B0000}"/>
    <cellStyle name="Вычисление 2 5 2" xfId="2898" xr:uid="{00000000-0005-0000-0000-0000510B0000}"/>
    <cellStyle name="Вычисление 2 5 3" xfId="2899" xr:uid="{00000000-0005-0000-0000-0000520B0000}"/>
    <cellStyle name="Вычисление 2 6" xfId="2900" xr:uid="{00000000-0005-0000-0000-0000530B0000}"/>
    <cellStyle name="Вычисление 2 6 2" xfId="2901" xr:uid="{00000000-0005-0000-0000-0000540B0000}"/>
    <cellStyle name="Вычисление 2 7" xfId="2902" xr:uid="{00000000-0005-0000-0000-0000550B0000}"/>
    <cellStyle name="Вычисление 2 7 2" xfId="2903" xr:uid="{00000000-0005-0000-0000-0000560B0000}"/>
    <cellStyle name="Вычисление 2 8" xfId="2904" xr:uid="{00000000-0005-0000-0000-0000570B0000}"/>
    <cellStyle name="Вычисление 2 9" xfId="2905" xr:uid="{00000000-0005-0000-0000-0000580B0000}"/>
    <cellStyle name="Вычисление 2_Xl0000305" xfId="2906" xr:uid="{00000000-0005-0000-0000-0000590B0000}"/>
    <cellStyle name="Вычисление 3" xfId="2907" xr:uid="{00000000-0005-0000-0000-00005A0B0000}"/>
    <cellStyle name="Вычисление 3 2" xfId="2908" xr:uid="{00000000-0005-0000-0000-00005B0B0000}"/>
    <cellStyle name="Вычисление 3 2 2" xfId="2909" xr:uid="{00000000-0005-0000-0000-00005C0B0000}"/>
    <cellStyle name="Вычисление 4" xfId="2910" xr:uid="{00000000-0005-0000-0000-00005D0B0000}"/>
    <cellStyle name="Вычисление 5" xfId="2911" xr:uid="{00000000-0005-0000-0000-00005E0B0000}"/>
    <cellStyle name="Вычисление 6" xfId="2912" xr:uid="{00000000-0005-0000-0000-00005F0B0000}"/>
    <cellStyle name="Вычисление 7" xfId="2913" xr:uid="{00000000-0005-0000-0000-0000600B0000}"/>
    <cellStyle name="Вычисление 8" xfId="2914" xr:uid="{00000000-0005-0000-0000-0000610B0000}"/>
    <cellStyle name="Вычисление 9" xfId="2915" xr:uid="{00000000-0005-0000-0000-0000620B0000}"/>
    <cellStyle name="Гиперссылка 3" xfId="2916" xr:uid="{00000000-0005-0000-0000-0000630B0000}"/>
    <cellStyle name="Денежный 2" xfId="2917" xr:uid="{00000000-0005-0000-0000-0000640B0000}"/>
    <cellStyle name="Заголовок" xfId="2918" xr:uid="{00000000-0005-0000-0000-0000650B0000}"/>
    <cellStyle name="Заголовок 1 10" xfId="2919" xr:uid="{00000000-0005-0000-0000-0000660B0000}"/>
    <cellStyle name="Заголовок 1 11" xfId="2920" xr:uid="{00000000-0005-0000-0000-0000670B0000}"/>
    <cellStyle name="Заголовок 1 12" xfId="2921" xr:uid="{00000000-0005-0000-0000-0000680B0000}"/>
    <cellStyle name="Заголовок 1 13" xfId="2922" xr:uid="{00000000-0005-0000-0000-0000690B0000}"/>
    <cellStyle name="Заголовок 1 14" xfId="2923" xr:uid="{00000000-0005-0000-0000-00006A0B0000}"/>
    <cellStyle name="Заголовок 1 15" xfId="2924" xr:uid="{00000000-0005-0000-0000-00006B0B0000}"/>
    <cellStyle name="Заголовок 1 16" xfId="2925" xr:uid="{00000000-0005-0000-0000-00006C0B0000}"/>
    <cellStyle name="Заголовок 1 2" xfId="2926" xr:uid="{00000000-0005-0000-0000-00006D0B0000}"/>
    <cellStyle name="Заголовок 1 2 10" xfId="2927" xr:uid="{00000000-0005-0000-0000-00006E0B0000}"/>
    <cellStyle name="Заголовок 1 2 11" xfId="2928" xr:uid="{00000000-0005-0000-0000-00006F0B0000}"/>
    <cellStyle name="Заголовок 1 2 12" xfId="2929" xr:uid="{00000000-0005-0000-0000-0000700B0000}"/>
    <cellStyle name="Заголовок 1 2 13" xfId="2930" xr:uid="{00000000-0005-0000-0000-0000710B0000}"/>
    <cellStyle name="Заголовок 1 2 2" xfId="2931" xr:uid="{00000000-0005-0000-0000-0000720B0000}"/>
    <cellStyle name="Заголовок 1 2 2 2" xfId="2932" xr:uid="{00000000-0005-0000-0000-0000730B0000}"/>
    <cellStyle name="Заголовок 1 2 3" xfId="2933" xr:uid="{00000000-0005-0000-0000-0000740B0000}"/>
    <cellStyle name="Заголовок 1 2 3 2" xfId="2934" xr:uid="{00000000-0005-0000-0000-0000750B0000}"/>
    <cellStyle name="Заголовок 1 2 4" xfId="2935" xr:uid="{00000000-0005-0000-0000-0000760B0000}"/>
    <cellStyle name="Заголовок 1 2 4 2" xfId="2936" xr:uid="{00000000-0005-0000-0000-0000770B0000}"/>
    <cellStyle name="Заголовок 1 2 5" xfId="2937" xr:uid="{00000000-0005-0000-0000-0000780B0000}"/>
    <cellStyle name="Заголовок 1 2 5 2" xfId="2938" xr:uid="{00000000-0005-0000-0000-0000790B0000}"/>
    <cellStyle name="Заголовок 1 2 6" xfId="2939" xr:uid="{00000000-0005-0000-0000-00007A0B0000}"/>
    <cellStyle name="Заголовок 1 2 6 2" xfId="2940" xr:uid="{00000000-0005-0000-0000-00007B0B0000}"/>
    <cellStyle name="Заголовок 1 2 7" xfId="2941" xr:uid="{00000000-0005-0000-0000-00007C0B0000}"/>
    <cellStyle name="Заголовок 1 2 8" xfId="2942" xr:uid="{00000000-0005-0000-0000-00007D0B0000}"/>
    <cellStyle name="Заголовок 1 2 9" xfId="2943" xr:uid="{00000000-0005-0000-0000-00007E0B0000}"/>
    <cellStyle name="Заголовок 1 2_Xl0000305" xfId="2944" xr:uid="{00000000-0005-0000-0000-00007F0B0000}"/>
    <cellStyle name="Заголовок 1 3" xfId="2945" xr:uid="{00000000-0005-0000-0000-0000800B0000}"/>
    <cellStyle name="Заголовок 1 3 2" xfId="2946" xr:uid="{00000000-0005-0000-0000-0000810B0000}"/>
    <cellStyle name="Заголовок 1 4" xfId="2947" xr:uid="{00000000-0005-0000-0000-0000820B0000}"/>
    <cellStyle name="Заголовок 1 5" xfId="2948" xr:uid="{00000000-0005-0000-0000-0000830B0000}"/>
    <cellStyle name="Заголовок 1 6" xfId="2949" xr:uid="{00000000-0005-0000-0000-0000840B0000}"/>
    <cellStyle name="Заголовок 1 7" xfId="2950" xr:uid="{00000000-0005-0000-0000-0000850B0000}"/>
    <cellStyle name="Заголовок 1 8" xfId="2951" xr:uid="{00000000-0005-0000-0000-0000860B0000}"/>
    <cellStyle name="Заголовок 1 9" xfId="2952" xr:uid="{00000000-0005-0000-0000-0000870B0000}"/>
    <cellStyle name="Заголовок 2 10" xfId="2953" xr:uid="{00000000-0005-0000-0000-0000880B0000}"/>
    <cellStyle name="Заголовок 2 11" xfId="2954" xr:uid="{00000000-0005-0000-0000-0000890B0000}"/>
    <cellStyle name="Заголовок 2 12" xfId="2955" xr:uid="{00000000-0005-0000-0000-00008A0B0000}"/>
    <cellStyle name="Заголовок 2 13" xfId="2956" xr:uid="{00000000-0005-0000-0000-00008B0B0000}"/>
    <cellStyle name="Заголовок 2 14" xfId="2957" xr:uid="{00000000-0005-0000-0000-00008C0B0000}"/>
    <cellStyle name="Заголовок 2 15" xfId="2958" xr:uid="{00000000-0005-0000-0000-00008D0B0000}"/>
    <cellStyle name="Заголовок 2 16" xfId="2959" xr:uid="{00000000-0005-0000-0000-00008E0B0000}"/>
    <cellStyle name="Заголовок 2 2" xfId="2960" xr:uid="{00000000-0005-0000-0000-00008F0B0000}"/>
    <cellStyle name="Заголовок 2 2 10" xfId="2961" xr:uid="{00000000-0005-0000-0000-0000900B0000}"/>
    <cellStyle name="Заголовок 2 2 11" xfId="2962" xr:uid="{00000000-0005-0000-0000-0000910B0000}"/>
    <cellStyle name="Заголовок 2 2 12" xfId="2963" xr:uid="{00000000-0005-0000-0000-0000920B0000}"/>
    <cellStyle name="Заголовок 2 2 13" xfId="2964" xr:uid="{00000000-0005-0000-0000-0000930B0000}"/>
    <cellStyle name="Заголовок 2 2 2" xfId="2965" xr:uid="{00000000-0005-0000-0000-0000940B0000}"/>
    <cellStyle name="Заголовок 2 2 2 2" xfId="2966" xr:uid="{00000000-0005-0000-0000-0000950B0000}"/>
    <cellStyle name="Заголовок 2 2 3" xfId="2967" xr:uid="{00000000-0005-0000-0000-0000960B0000}"/>
    <cellStyle name="Заголовок 2 2 3 2" xfId="2968" xr:uid="{00000000-0005-0000-0000-0000970B0000}"/>
    <cellStyle name="Заголовок 2 2 4" xfId="2969" xr:uid="{00000000-0005-0000-0000-0000980B0000}"/>
    <cellStyle name="Заголовок 2 2 4 2" xfId="2970" xr:uid="{00000000-0005-0000-0000-0000990B0000}"/>
    <cellStyle name="Заголовок 2 2 5" xfId="2971" xr:uid="{00000000-0005-0000-0000-00009A0B0000}"/>
    <cellStyle name="Заголовок 2 2 5 2" xfId="2972" xr:uid="{00000000-0005-0000-0000-00009B0B0000}"/>
    <cellStyle name="Заголовок 2 2 6" xfId="2973" xr:uid="{00000000-0005-0000-0000-00009C0B0000}"/>
    <cellStyle name="Заголовок 2 2 6 2" xfId="2974" xr:uid="{00000000-0005-0000-0000-00009D0B0000}"/>
    <cellStyle name="Заголовок 2 2 7" xfId="2975" xr:uid="{00000000-0005-0000-0000-00009E0B0000}"/>
    <cellStyle name="Заголовок 2 2 8" xfId="2976" xr:uid="{00000000-0005-0000-0000-00009F0B0000}"/>
    <cellStyle name="Заголовок 2 2 9" xfId="2977" xr:uid="{00000000-0005-0000-0000-0000A00B0000}"/>
    <cellStyle name="Заголовок 2 2_Xl0000305" xfId="2978" xr:uid="{00000000-0005-0000-0000-0000A10B0000}"/>
    <cellStyle name="Заголовок 2 3" xfId="2979" xr:uid="{00000000-0005-0000-0000-0000A20B0000}"/>
    <cellStyle name="Заголовок 2 3 2" xfId="2980" xr:uid="{00000000-0005-0000-0000-0000A30B0000}"/>
    <cellStyle name="Заголовок 2 4" xfId="2981" xr:uid="{00000000-0005-0000-0000-0000A40B0000}"/>
    <cellStyle name="Заголовок 2 5" xfId="2982" xr:uid="{00000000-0005-0000-0000-0000A50B0000}"/>
    <cellStyle name="Заголовок 2 6" xfId="2983" xr:uid="{00000000-0005-0000-0000-0000A60B0000}"/>
    <cellStyle name="Заголовок 2 7" xfId="2984" xr:uid="{00000000-0005-0000-0000-0000A70B0000}"/>
    <cellStyle name="Заголовок 2 8" xfId="2985" xr:uid="{00000000-0005-0000-0000-0000A80B0000}"/>
    <cellStyle name="Заголовок 2 9" xfId="2986" xr:uid="{00000000-0005-0000-0000-0000A90B0000}"/>
    <cellStyle name="Заголовок 3 10" xfId="2987" xr:uid="{00000000-0005-0000-0000-0000AA0B0000}"/>
    <cellStyle name="Заголовок 3 11" xfId="2988" xr:uid="{00000000-0005-0000-0000-0000AB0B0000}"/>
    <cellStyle name="Заголовок 3 12" xfId="2989" xr:uid="{00000000-0005-0000-0000-0000AC0B0000}"/>
    <cellStyle name="Заголовок 3 13" xfId="2990" xr:uid="{00000000-0005-0000-0000-0000AD0B0000}"/>
    <cellStyle name="Заголовок 3 14" xfId="2991" xr:uid="{00000000-0005-0000-0000-0000AE0B0000}"/>
    <cellStyle name="Заголовок 3 15" xfId="2992" xr:uid="{00000000-0005-0000-0000-0000AF0B0000}"/>
    <cellStyle name="Заголовок 3 16" xfId="2993" xr:uid="{00000000-0005-0000-0000-0000B00B0000}"/>
    <cellStyle name="Заголовок 3 2" xfId="2994" xr:uid="{00000000-0005-0000-0000-0000B10B0000}"/>
    <cellStyle name="Заголовок 3 2 10" xfId="2995" xr:uid="{00000000-0005-0000-0000-0000B20B0000}"/>
    <cellStyle name="Заголовок 3 2 11" xfId="2996" xr:uid="{00000000-0005-0000-0000-0000B30B0000}"/>
    <cellStyle name="Заголовок 3 2 12" xfId="2997" xr:uid="{00000000-0005-0000-0000-0000B40B0000}"/>
    <cellStyle name="Заголовок 3 2 13" xfId="2998" xr:uid="{00000000-0005-0000-0000-0000B50B0000}"/>
    <cellStyle name="Заголовок 3 2 2" xfId="2999" xr:uid="{00000000-0005-0000-0000-0000B60B0000}"/>
    <cellStyle name="Заголовок 3 2 2 2" xfId="3000" xr:uid="{00000000-0005-0000-0000-0000B70B0000}"/>
    <cellStyle name="Заголовок 3 2 3" xfId="3001" xr:uid="{00000000-0005-0000-0000-0000B80B0000}"/>
    <cellStyle name="Заголовок 3 2 3 2" xfId="3002" xr:uid="{00000000-0005-0000-0000-0000B90B0000}"/>
    <cellStyle name="Заголовок 3 2 4" xfId="3003" xr:uid="{00000000-0005-0000-0000-0000BA0B0000}"/>
    <cellStyle name="Заголовок 3 2 4 2" xfId="3004" xr:uid="{00000000-0005-0000-0000-0000BB0B0000}"/>
    <cellStyle name="Заголовок 3 2 5" xfId="3005" xr:uid="{00000000-0005-0000-0000-0000BC0B0000}"/>
    <cellStyle name="Заголовок 3 2 5 2" xfId="3006" xr:uid="{00000000-0005-0000-0000-0000BD0B0000}"/>
    <cellStyle name="Заголовок 3 2 6" xfId="3007" xr:uid="{00000000-0005-0000-0000-0000BE0B0000}"/>
    <cellStyle name="Заголовок 3 2 6 2" xfId="3008" xr:uid="{00000000-0005-0000-0000-0000BF0B0000}"/>
    <cellStyle name="Заголовок 3 2 7" xfId="3009" xr:uid="{00000000-0005-0000-0000-0000C00B0000}"/>
    <cellStyle name="Заголовок 3 2 8" xfId="3010" xr:uid="{00000000-0005-0000-0000-0000C10B0000}"/>
    <cellStyle name="Заголовок 3 2 9" xfId="3011" xr:uid="{00000000-0005-0000-0000-0000C20B0000}"/>
    <cellStyle name="Заголовок 3 2_Xl0000305" xfId="3012" xr:uid="{00000000-0005-0000-0000-0000C30B0000}"/>
    <cellStyle name="Заголовок 3 3" xfId="3013" xr:uid="{00000000-0005-0000-0000-0000C40B0000}"/>
    <cellStyle name="Заголовок 3 3 2" xfId="3014" xr:uid="{00000000-0005-0000-0000-0000C50B0000}"/>
    <cellStyle name="Заголовок 3 4" xfId="3015" xr:uid="{00000000-0005-0000-0000-0000C60B0000}"/>
    <cellStyle name="Заголовок 3 5" xfId="3016" xr:uid="{00000000-0005-0000-0000-0000C70B0000}"/>
    <cellStyle name="Заголовок 3 6" xfId="3017" xr:uid="{00000000-0005-0000-0000-0000C80B0000}"/>
    <cellStyle name="Заголовок 3 7" xfId="3018" xr:uid="{00000000-0005-0000-0000-0000C90B0000}"/>
    <cellStyle name="Заголовок 3 8" xfId="3019" xr:uid="{00000000-0005-0000-0000-0000CA0B0000}"/>
    <cellStyle name="Заголовок 3 9" xfId="3020" xr:uid="{00000000-0005-0000-0000-0000CB0B0000}"/>
    <cellStyle name="Заголовок 4 10" xfId="3021" xr:uid="{00000000-0005-0000-0000-0000CC0B0000}"/>
    <cellStyle name="Заголовок 4 11" xfId="3022" xr:uid="{00000000-0005-0000-0000-0000CD0B0000}"/>
    <cellStyle name="Заголовок 4 12" xfId="3023" xr:uid="{00000000-0005-0000-0000-0000CE0B0000}"/>
    <cellStyle name="Заголовок 4 13" xfId="3024" xr:uid="{00000000-0005-0000-0000-0000CF0B0000}"/>
    <cellStyle name="Заголовок 4 14" xfId="3025" xr:uid="{00000000-0005-0000-0000-0000D00B0000}"/>
    <cellStyle name="Заголовок 4 15" xfId="3026" xr:uid="{00000000-0005-0000-0000-0000D10B0000}"/>
    <cellStyle name="Заголовок 4 16" xfId="3027" xr:uid="{00000000-0005-0000-0000-0000D20B0000}"/>
    <cellStyle name="Заголовок 4 2" xfId="3028" xr:uid="{00000000-0005-0000-0000-0000D30B0000}"/>
    <cellStyle name="Заголовок 4 2 10" xfId="3029" xr:uid="{00000000-0005-0000-0000-0000D40B0000}"/>
    <cellStyle name="Заголовок 4 2 11" xfId="3030" xr:uid="{00000000-0005-0000-0000-0000D50B0000}"/>
    <cellStyle name="Заголовок 4 2 12" xfId="3031" xr:uid="{00000000-0005-0000-0000-0000D60B0000}"/>
    <cellStyle name="Заголовок 4 2 13" xfId="3032" xr:uid="{00000000-0005-0000-0000-0000D70B0000}"/>
    <cellStyle name="Заголовок 4 2 2" xfId="3033" xr:uid="{00000000-0005-0000-0000-0000D80B0000}"/>
    <cellStyle name="Заголовок 4 2 2 2" xfId="3034" xr:uid="{00000000-0005-0000-0000-0000D90B0000}"/>
    <cellStyle name="Заголовок 4 2 3" xfId="3035" xr:uid="{00000000-0005-0000-0000-0000DA0B0000}"/>
    <cellStyle name="Заголовок 4 2 3 2" xfId="3036" xr:uid="{00000000-0005-0000-0000-0000DB0B0000}"/>
    <cellStyle name="Заголовок 4 2 4" xfId="3037" xr:uid="{00000000-0005-0000-0000-0000DC0B0000}"/>
    <cellStyle name="Заголовок 4 2 4 2" xfId="3038" xr:uid="{00000000-0005-0000-0000-0000DD0B0000}"/>
    <cellStyle name="Заголовок 4 2 5" xfId="3039" xr:uid="{00000000-0005-0000-0000-0000DE0B0000}"/>
    <cellStyle name="Заголовок 4 2 5 2" xfId="3040" xr:uid="{00000000-0005-0000-0000-0000DF0B0000}"/>
    <cellStyle name="Заголовок 4 2 6" xfId="3041" xr:uid="{00000000-0005-0000-0000-0000E00B0000}"/>
    <cellStyle name="Заголовок 4 2 6 2" xfId="3042" xr:uid="{00000000-0005-0000-0000-0000E10B0000}"/>
    <cellStyle name="Заголовок 4 2 7" xfId="3043" xr:uid="{00000000-0005-0000-0000-0000E20B0000}"/>
    <cellStyle name="Заголовок 4 2 8" xfId="3044" xr:uid="{00000000-0005-0000-0000-0000E30B0000}"/>
    <cellStyle name="Заголовок 4 2 9" xfId="3045" xr:uid="{00000000-0005-0000-0000-0000E40B0000}"/>
    <cellStyle name="Заголовок 4 3" xfId="3046" xr:uid="{00000000-0005-0000-0000-0000E50B0000}"/>
    <cellStyle name="Заголовок 4 3 2" xfId="3047" xr:uid="{00000000-0005-0000-0000-0000E60B0000}"/>
    <cellStyle name="Заголовок 4 4" xfId="3048" xr:uid="{00000000-0005-0000-0000-0000E70B0000}"/>
    <cellStyle name="Заголовок 4 5" xfId="3049" xr:uid="{00000000-0005-0000-0000-0000E80B0000}"/>
    <cellStyle name="Заголовок 4 6" xfId="3050" xr:uid="{00000000-0005-0000-0000-0000E90B0000}"/>
    <cellStyle name="Заголовок 4 7" xfId="3051" xr:uid="{00000000-0005-0000-0000-0000EA0B0000}"/>
    <cellStyle name="Заголовок 4 8" xfId="3052" xr:uid="{00000000-0005-0000-0000-0000EB0B0000}"/>
    <cellStyle name="Заголовок 4 9" xfId="3053" xr:uid="{00000000-0005-0000-0000-0000EC0B0000}"/>
    <cellStyle name="Заголовок 5" xfId="3054" xr:uid="{00000000-0005-0000-0000-0000ED0B0000}"/>
    <cellStyle name="ЗаголовокСтолбца" xfId="3055" xr:uid="{00000000-0005-0000-0000-0000EE0B0000}"/>
    <cellStyle name="ЗаголовокСтолбца 2" xfId="3056" xr:uid="{00000000-0005-0000-0000-0000EF0B0000}"/>
    <cellStyle name="ЗаголовокСтолбца 3" xfId="3057" xr:uid="{00000000-0005-0000-0000-0000F00B0000}"/>
    <cellStyle name="Защитный" xfId="3058" xr:uid="{00000000-0005-0000-0000-0000F10B0000}"/>
    <cellStyle name="Защитный 2" xfId="3059" xr:uid="{00000000-0005-0000-0000-0000F20B0000}"/>
    <cellStyle name="Значение" xfId="3060" xr:uid="{00000000-0005-0000-0000-0000F30B0000}"/>
    <cellStyle name="Значение 2" xfId="3061" xr:uid="{00000000-0005-0000-0000-0000F40B0000}"/>
    <cellStyle name="Значение 3" xfId="3062" xr:uid="{00000000-0005-0000-0000-0000F50B0000}"/>
    <cellStyle name="Зоголовок" xfId="3063" xr:uid="{00000000-0005-0000-0000-0000F60B0000}"/>
    <cellStyle name="Зоголовок 2" xfId="3064" xr:uid="{00000000-0005-0000-0000-0000F70B0000}"/>
    <cellStyle name="зфпуруфвштп" xfId="3065" xr:uid="{00000000-0005-0000-0000-0000F80B0000}"/>
    <cellStyle name="Итог 10" xfId="3067" xr:uid="{00000000-0005-0000-0000-0000FA0B0000}"/>
    <cellStyle name="Итог 11" xfId="3068" xr:uid="{00000000-0005-0000-0000-0000FB0B0000}"/>
    <cellStyle name="Итог 12" xfId="3069" xr:uid="{00000000-0005-0000-0000-0000FC0B0000}"/>
    <cellStyle name="Итог 13" xfId="3070" xr:uid="{00000000-0005-0000-0000-0000FD0B0000}"/>
    <cellStyle name="Итог 14" xfId="3071" xr:uid="{00000000-0005-0000-0000-0000FE0B0000}"/>
    <cellStyle name="Итог 15" xfId="3072" xr:uid="{00000000-0005-0000-0000-0000FF0B0000}"/>
    <cellStyle name="Итог 16" xfId="3073" xr:uid="{00000000-0005-0000-0000-0000000C0000}"/>
    <cellStyle name="Итог 2" xfId="3074" xr:uid="{00000000-0005-0000-0000-0000010C0000}"/>
    <cellStyle name="Итог 2 10" xfId="3075" xr:uid="{00000000-0005-0000-0000-0000020C0000}"/>
    <cellStyle name="Итог 2 11" xfId="3076" xr:uid="{00000000-0005-0000-0000-0000030C0000}"/>
    <cellStyle name="Итог 2 12" xfId="3077" xr:uid="{00000000-0005-0000-0000-0000040C0000}"/>
    <cellStyle name="Итог 2 13" xfId="3078" xr:uid="{00000000-0005-0000-0000-0000050C0000}"/>
    <cellStyle name="Итог 2 2" xfId="3079" xr:uid="{00000000-0005-0000-0000-0000060C0000}"/>
    <cellStyle name="Итог 2 2 2" xfId="3080" xr:uid="{00000000-0005-0000-0000-0000070C0000}"/>
    <cellStyle name="Итог 2 2 3" xfId="3081" xr:uid="{00000000-0005-0000-0000-0000080C0000}"/>
    <cellStyle name="Итог 2 3" xfId="3082" xr:uid="{00000000-0005-0000-0000-0000090C0000}"/>
    <cellStyle name="Итог 2 3 2" xfId="3083" xr:uid="{00000000-0005-0000-0000-00000A0C0000}"/>
    <cellStyle name="Итог 2 3 3" xfId="3084" xr:uid="{00000000-0005-0000-0000-00000B0C0000}"/>
    <cellStyle name="Итог 2 4" xfId="3085" xr:uid="{00000000-0005-0000-0000-00000C0C0000}"/>
    <cellStyle name="Итог 2 4 2" xfId="3086" xr:uid="{00000000-0005-0000-0000-00000D0C0000}"/>
    <cellStyle name="Итог 2 4 3" xfId="3087" xr:uid="{00000000-0005-0000-0000-00000E0C0000}"/>
    <cellStyle name="Итог 2 5" xfId="3088" xr:uid="{00000000-0005-0000-0000-00000F0C0000}"/>
    <cellStyle name="Итог 2 5 2" xfId="3089" xr:uid="{00000000-0005-0000-0000-0000100C0000}"/>
    <cellStyle name="Итог 2 5 3" xfId="3090" xr:uid="{00000000-0005-0000-0000-0000110C0000}"/>
    <cellStyle name="Итог 2 6" xfId="3091" xr:uid="{00000000-0005-0000-0000-0000120C0000}"/>
    <cellStyle name="Итог 2 6 2" xfId="3092" xr:uid="{00000000-0005-0000-0000-0000130C0000}"/>
    <cellStyle name="Итог 2 7" xfId="3093" xr:uid="{00000000-0005-0000-0000-0000140C0000}"/>
    <cellStyle name="Итог 2 7 2" xfId="3094" xr:uid="{00000000-0005-0000-0000-0000150C0000}"/>
    <cellStyle name="Итог 2 8" xfId="3095" xr:uid="{00000000-0005-0000-0000-0000160C0000}"/>
    <cellStyle name="Итог 2 9" xfId="3096" xr:uid="{00000000-0005-0000-0000-0000170C0000}"/>
    <cellStyle name="Итог 2_Xl0000305" xfId="3097" xr:uid="{00000000-0005-0000-0000-0000180C0000}"/>
    <cellStyle name="Итог 3" xfId="3098" xr:uid="{00000000-0005-0000-0000-0000190C0000}"/>
    <cellStyle name="Итог 3 2" xfId="3099" xr:uid="{00000000-0005-0000-0000-00001A0C0000}"/>
    <cellStyle name="Итог 3 2 2" xfId="3100" xr:uid="{00000000-0005-0000-0000-00001B0C0000}"/>
    <cellStyle name="Итог 4" xfId="3101" xr:uid="{00000000-0005-0000-0000-00001C0C0000}"/>
    <cellStyle name="Итог 5" xfId="3102" xr:uid="{00000000-0005-0000-0000-00001D0C0000}"/>
    <cellStyle name="Итог 6" xfId="3103" xr:uid="{00000000-0005-0000-0000-00001E0C0000}"/>
    <cellStyle name="Итог 7" xfId="3104" xr:uid="{00000000-0005-0000-0000-00001F0C0000}"/>
    <cellStyle name="Итог 8" xfId="3105" xr:uid="{00000000-0005-0000-0000-0000200C0000}"/>
    <cellStyle name="Итог 9" xfId="3106" xr:uid="{00000000-0005-0000-0000-0000210C0000}"/>
    <cellStyle name="Итоги" xfId="3107" xr:uid="{00000000-0005-0000-0000-0000220C0000}"/>
    <cellStyle name="Итого" xfId="3108" xr:uid="{00000000-0005-0000-0000-0000230C0000}"/>
    <cellStyle name="Итого 2" xfId="3109" xr:uid="{00000000-0005-0000-0000-0000240C0000}"/>
    <cellStyle name="Итого 3" xfId="3110" xr:uid="{00000000-0005-0000-0000-0000250C0000}"/>
    <cellStyle name="ИтогоАктБазЦ" xfId="3111" xr:uid="{00000000-0005-0000-0000-0000260C0000}"/>
    <cellStyle name="ИтогоАктБИМ" xfId="3112" xr:uid="{00000000-0005-0000-0000-0000270C0000}"/>
    <cellStyle name="ИтогоАктБИМ 2" xfId="3113" xr:uid="{00000000-0005-0000-0000-0000280C0000}"/>
    <cellStyle name="ИтогоАктБИМ 3" xfId="3114" xr:uid="{00000000-0005-0000-0000-0000290C0000}"/>
    <cellStyle name="ИтогоАктБИМ 4" xfId="3115" xr:uid="{00000000-0005-0000-0000-00002A0C0000}"/>
    <cellStyle name="ИтогоАктБИМ 5" xfId="3116" xr:uid="{00000000-0005-0000-0000-00002B0C0000}"/>
    <cellStyle name="ИтогоАктРесМет" xfId="3117" xr:uid="{00000000-0005-0000-0000-00002C0C0000}"/>
    <cellStyle name="ИтогоАктРесМет 2" xfId="3118" xr:uid="{00000000-0005-0000-0000-00002D0C0000}"/>
    <cellStyle name="ИтогоАктРесМет 3" xfId="3119" xr:uid="{00000000-0005-0000-0000-00002E0C0000}"/>
    <cellStyle name="ИтогоАктРесМет 4" xfId="3120" xr:uid="{00000000-0005-0000-0000-00002F0C0000}"/>
    <cellStyle name="ИтогоАктРесМет 5" xfId="3121" xr:uid="{00000000-0005-0000-0000-0000300C0000}"/>
    <cellStyle name="ИтогоАктТекЦ" xfId="3122" xr:uid="{00000000-0005-0000-0000-0000310C0000}"/>
    <cellStyle name="ИтогоБазЦ" xfId="3123" xr:uid="{00000000-0005-0000-0000-0000320C0000}"/>
    <cellStyle name="ИтогоБИМ" xfId="3124" xr:uid="{00000000-0005-0000-0000-0000330C0000}"/>
    <cellStyle name="ИтогоБИМ 2" xfId="3125" xr:uid="{00000000-0005-0000-0000-0000340C0000}"/>
    <cellStyle name="ИтогоБИМ 3" xfId="3126" xr:uid="{00000000-0005-0000-0000-0000350C0000}"/>
    <cellStyle name="ИтогоБИМ 4" xfId="3127" xr:uid="{00000000-0005-0000-0000-0000360C0000}"/>
    <cellStyle name="ИтогоБИМ 5" xfId="3128" xr:uid="{00000000-0005-0000-0000-0000370C0000}"/>
    <cellStyle name="ИтогоРесМет" xfId="3129" xr:uid="{00000000-0005-0000-0000-0000380C0000}"/>
    <cellStyle name="ИтогоРесМет 2" xfId="3130" xr:uid="{00000000-0005-0000-0000-0000390C0000}"/>
    <cellStyle name="ИтогоРесМет 3" xfId="3131" xr:uid="{00000000-0005-0000-0000-00003A0C0000}"/>
    <cellStyle name="ИтогоРесМет 4" xfId="3132" xr:uid="{00000000-0005-0000-0000-00003B0C0000}"/>
    <cellStyle name="ИтогоРесМет 5" xfId="3133" xr:uid="{00000000-0005-0000-0000-00003C0C0000}"/>
    <cellStyle name="ИтогоТекЦ" xfId="3134" xr:uid="{00000000-0005-0000-0000-00003D0C0000}"/>
    <cellStyle name="йешеду" xfId="3066" xr:uid="{00000000-0005-0000-0000-0000F90B0000}"/>
    <cellStyle name="Контрольная ячейка 10" xfId="3135" xr:uid="{00000000-0005-0000-0000-00003E0C0000}"/>
    <cellStyle name="Контрольная ячейка 11" xfId="3136" xr:uid="{00000000-0005-0000-0000-00003F0C0000}"/>
    <cellStyle name="Контрольная ячейка 12" xfId="3137" xr:uid="{00000000-0005-0000-0000-0000400C0000}"/>
    <cellStyle name="Контрольная ячейка 13" xfId="3138" xr:uid="{00000000-0005-0000-0000-0000410C0000}"/>
    <cellStyle name="Контрольная ячейка 14" xfId="3139" xr:uid="{00000000-0005-0000-0000-0000420C0000}"/>
    <cellStyle name="Контрольная ячейка 15" xfId="3140" xr:uid="{00000000-0005-0000-0000-0000430C0000}"/>
    <cellStyle name="Контрольная ячейка 16" xfId="3141" xr:uid="{00000000-0005-0000-0000-0000440C0000}"/>
    <cellStyle name="Контрольная ячейка 2" xfId="3142" xr:uid="{00000000-0005-0000-0000-0000450C0000}"/>
    <cellStyle name="Контрольная ячейка 2 10" xfId="3143" xr:uid="{00000000-0005-0000-0000-0000460C0000}"/>
    <cellStyle name="Контрольная ячейка 2 11" xfId="3144" xr:uid="{00000000-0005-0000-0000-0000470C0000}"/>
    <cellStyle name="Контрольная ячейка 2 12" xfId="3145" xr:uid="{00000000-0005-0000-0000-0000480C0000}"/>
    <cellStyle name="Контрольная ячейка 2 13" xfId="3146" xr:uid="{00000000-0005-0000-0000-0000490C0000}"/>
    <cellStyle name="Контрольная ячейка 2 2" xfId="3147" xr:uid="{00000000-0005-0000-0000-00004A0C0000}"/>
    <cellStyle name="Контрольная ячейка 2 2 2" xfId="3148" xr:uid="{00000000-0005-0000-0000-00004B0C0000}"/>
    <cellStyle name="Контрольная ячейка 2 3" xfId="3149" xr:uid="{00000000-0005-0000-0000-00004C0C0000}"/>
    <cellStyle name="Контрольная ячейка 2 3 2" xfId="3150" xr:uid="{00000000-0005-0000-0000-00004D0C0000}"/>
    <cellStyle name="Контрольная ячейка 2 4" xfId="3151" xr:uid="{00000000-0005-0000-0000-00004E0C0000}"/>
    <cellStyle name="Контрольная ячейка 2 4 2" xfId="3152" xr:uid="{00000000-0005-0000-0000-00004F0C0000}"/>
    <cellStyle name="Контрольная ячейка 2 5" xfId="3153" xr:uid="{00000000-0005-0000-0000-0000500C0000}"/>
    <cellStyle name="Контрольная ячейка 2 5 2" xfId="3154" xr:uid="{00000000-0005-0000-0000-0000510C0000}"/>
    <cellStyle name="Контрольная ячейка 2 6" xfId="3155" xr:uid="{00000000-0005-0000-0000-0000520C0000}"/>
    <cellStyle name="Контрольная ячейка 2 6 2" xfId="3156" xr:uid="{00000000-0005-0000-0000-0000530C0000}"/>
    <cellStyle name="Контрольная ячейка 2 7" xfId="3157" xr:uid="{00000000-0005-0000-0000-0000540C0000}"/>
    <cellStyle name="Контрольная ячейка 2 8" xfId="3158" xr:uid="{00000000-0005-0000-0000-0000550C0000}"/>
    <cellStyle name="Контрольная ячейка 2 9" xfId="3159" xr:uid="{00000000-0005-0000-0000-0000560C0000}"/>
    <cellStyle name="Контрольная ячейка 2_Xl0000305" xfId="3160" xr:uid="{00000000-0005-0000-0000-0000570C0000}"/>
    <cellStyle name="Контрольная ячейка 3" xfId="3161" xr:uid="{00000000-0005-0000-0000-0000580C0000}"/>
    <cellStyle name="Контрольная ячейка 3 2" xfId="3162" xr:uid="{00000000-0005-0000-0000-0000590C0000}"/>
    <cellStyle name="Контрольная ячейка 4" xfId="3163" xr:uid="{00000000-0005-0000-0000-00005A0C0000}"/>
    <cellStyle name="Контрольная ячейка 5" xfId="3164" xr:uid="{00000000-0005-0000-0000-00005B0C0000}"/>
    <cellStyle name="Контрольная ячейка 6" xfId="3165" xr:uid="{00000000-0005-0000-0000-00005C0C0000}"/>
    <cellStyle name="Контрольная ячейка 7" xfId="3166" xr:uid="{00000000-0005-0000-0000-00005D0C0000}"/>
    <cellStyle name="Контрольная ячейка 8" xfId="3167" xr:uid="{00000000-0005-0000-0000-00005E0C0000}"/>
    <cellStyle name="Контрольная ячейка 9" xfId="3168" xr:uid="{00000000-0005-0000-0000-00005F0C0000}"/>
    <cellStyle name="ЛокСмета" xfId="3169" xr:uid="{00000000-0005-0000-0000-0000600C0000}"/>
    <cellStyle name="ЛокСмета 2" xfId="3170" xr:uid="{00000000-0005-0000-0000-0000610C0000}"/>
    <cellStyle name="ЛокСмета_11.10.11 К дог.Очистные Сырзавод ПС Борисоглеб" xfId="3171" xr:uid="{00000000-0005-0000-0000-0000620C0000}"/>
    <cellStyle name="ЛокСмМТСН" xfId="3172" xr:uid="{00000000-0005-0000-0000-0000630C0000}"/>
    <cellStyle name="ЛокСмМТСН 2" xfId="3173" xr:uid="{00000000-0005-0000-0000-0000640C0000}"/>
    <cellStyle name="ЛокСмМТСН 3" xfId="3174" xr:uid="{00000000-0005-0000-0000-0000650C0000}"/>
    <cellStyle name="ЛокСмМТСН 4" xfId="3175" xr:uid="{00000000-0005-0000-0000-0000660C0000}"/>
    <cellStyle name="ЛокСмМТСН 5" xfId="3176" xr:uid="{00000000-0005-0000-0000-0000670C0000}"/>
    <cellStyle name="М29" xfId="3177" xr:uid="{00000000-0005-0000-0000-0000680C0000}"/>
    <cellStyle name="М29 2" xfId="3178" xr:uid="{00000000-0005-0000-0000-0000690C0000}"/>
    <cellStyle name="М29 3" xfId="3179" xr:uid="{00000000-0005-0000-0000-00006A0C0000}"/>
    <cellStyle name="М29 4" xfId="3180" xr:uid="{00000000-0005-0000-0000-00006B0C0000}"/>
    <cellStyle name="М29 5" xfId="3181" xr:uid="{00000000-0005-0000-0000-00006C0C0000}"/>
    <cellStyle name="Мои наименования показателей" xfId="3187" xr:uid="{00000000-0005-0000-0000-0000720C0000}"/>
    <cellStyle name="Мои наименования показателей 2" xfId="3188" xr:uid="{00000000-0005-0000-0000-0000730C0000}"/>
    <cellStyle name="Мои наименования показателей 3" xfId="3189" xr:uid="{00000000-0005-0000-0000-0000740C0000}"/>
    <cellStyle name="Мои наименования показателей 4" xfId="3190" xr:uid="{00000000-0005-0000-0000-0000750C0000}"/>
    <cellStyle name="Мои наименования показателей 5" xfId="3191" xr:uid="{00000000-0005-0000-0000-0000760C0000}"/>
    <cellStyle name="Мой заголовок" xfId="3182" xr:uid="{00000000-0005-0000-0000-00006D0C0000}"/>
    <cellStyle name="Мой заголовок 2" xfId="3183" xr:uid="{00000000-0005-0000-0000-00006E0C0000}"/>
    <cellStyle name="Мой заголовок листа" xfId="3184" xr:uid="{00000000-0005-0000-0000-00006F0C0000}"/>
    <cellStyle name="Мой заголовок листа 2" xfId="3185" xr:uid="{00000000-0005-0000-0000-0000700C0000}"/>
    <cellStyle name="Мой заголовок листа 3" xfId="3186" xr:uid="{00000000-0005-0000-0000-0000710C0000}"/>
    <cellStyle name="Название 10" xfId="3192" xr:uid="{00000000-0005-0000-0000-0000770C0000}"/>
    <cellStyle name="Название 11" xfId="3193" xr:uid="{00000000-0005-0000-0000-0000780C0000}"/>
    <cellStyle name="Название 12" xfId="3194" xr:uid="{00000000-0005-0000-0000-0000790C0000}"/>
    <cellStyle name="Название 13" xfId="3195" xr:uid="{00000000-0005-0000-0000-00007A0C0000}"/>
    <cellStyle name="Название 14" xfId="3196" xr:uid="{00000000-0005-0000-0000-00007B0C0000}"/>
    <cellStyle name="Название 15" xfId="3197" xr:uid="{00000000-0005-0000-0000-00007C0C0000}"/>
    <cellStyle name="Название 16" xfId="3198" xr:uid="{00000000-0005-0000-0000-00007D0C0000}"/>
    <cellStyle name="Название 2" xfId="3199" xr:uid="{00000000-0005-0000-0000-00007E0C0000}"/>
    <cellStyle name="Название 2 10" xfId="3200" xr:uid="{00000000-0005-0000-0000-00007F0C0000}"/>
    <cellStyle name="Название 2 11" xfId="3201" xr:uid="{00000000-0005-0000-0000-0000800C0000}"/>
    <cellStyle name="Название 2 12" xfId="3202" xr:uid="{00000000-0005-0000-0000-0000810C0000}"/>
    <cellStyle name="Название 2 13" xfId="3203" xr:uid="{00000000-0005-0000-0000-0000820C0000}"/>
    <cellStyle name="Название 2 2" xfId="3204" xr:uid="{00000000-0005-0000-0000-0000830C0000}"/>
    <cellStyle name="Название 2 2 2" xfId="3205" xr:uid="{00000000-0005-0000-0000-0000840C0000}"/>
    <cellStyle name="Название 2 3" xfId="3206" xr:uid="{00000000-0005-0000-0000-0000850C0000}"/>
    <cellStyle name="Название 2 3 2" xfId="3207" xr:uid="{00000000-0005-0000-0000-0000860C0000}"/>
    <cellStyle name="Название 2 4" xfId="3208" xr:uid="{00000000-0005-0000-0000-0000870C0000}"/>
    <cellStyle name="Название 2 4 2" xfId="3209" xr:uid="{00000000-0005-0000-0000-0000880C0000}"/>
    <cellStyle name="Название 2 5" xfId="3210" xr:uid="{00000000-0005-0000-0000-0000890C0000}"/>
    <cellStyle name="Название 2 5 2" xfId="3211" xr:uid="{00000000-0005-0000-0000-00008A0C0000}"/>
    <cellStyle name="Название 2 6" xfId="3212" xr:uid="{00000000-0005-0000-0000-00008B0C0000}"/>
    <cellStyle name="Название 2 6 2" xfId="3213" xr:uid="{00000000-0005-0000-0000-00008C0C0000}"/>
    <cellStyle name="Название 2 7" xfId="3214" xr:uid="{00000000-0005-0000-0000-00008D0C0000}"/>
    <cellStyle name="Название 2 8" xfId="3215" xr:uid="{00000000-0005-0000-0000-00008E0C0000}"/>
    <cellStyle name="Название 2 9" xfId="3216" xr:uid="{00000000-0005-0000-0000-00008F0C0000}"/>
    <cellStyle name="Название 3" xfId="3217" xr:uid="{00000000-0005-0000-0000-0000900C0000}"/>
    <cellStyle name="Название 3 2" xfId="3218" xr:uid="{00000000-0005-0000-0000-0000910C0000}"/>
    <cellStyle name="Название 4" xfId="3219" xr:uid="{00000000-0005-0000-0000-0000920C0000}"/>
    <cellStyle name="Название 5" xfId="3220" xr:uid="{00000000-0005-0000-0000-0000930C0000}"/>
    <cellStyle name="Название 6" xfId="3221" xr:uid="{00000000-0005-0000-0000-0000940C0000}"/>
    <cellStyle name="Название 7" xfId="3222" xr:uid="{00000000-0005-0000-0000-0000950C0000}"/>
    <cellStyle name="Название 8" xfId="3223" xr:uid="{00000000-0005-0000-0000-0000960C0000}"/>
    <cellStyle name="Название 9" xfId="3224" xr:uid="{00000000-0005-0000-0000-0000970C0000}"/>
    <cellStyle name="Нейтральный 10" xfId="3225" xr:uid="{00000000-0005-0000-0000-0000980C0000}"/>
    <cellStyle name="Нейтральный 11" xfId="3226" xr:uid="{00000000-0005-0000-0000-0000990C0000}"/>
    <cellStyle name="Нейтральный 12" xfId="3227" xr:uid="{00000000-0005-0000-0000-00009A0C0000}"/>
    <cellStyle name="Нейтральный 13" xfId="3228" xr:uid="{00000000-0005-0000-0000-00009B0C0000}"/>
    <cellStyle name="Нейтральный 14" xfId="3229" xr:uid="{00000000-0005-0000-0000-00009C0C0000}"/>
    <cellStyle name="Нейтральный 15" xfId="3230" xr:uid="{00000000-0005-0000-0000-00009D0C0000}"/>
    <cellStyle name="Нейтральный 16" xfId="3231" xr:uid="{00000000-0005-0000-0000-00009E0C0000}"/>
    <cellStyle name="Нейтральный 2" xfId="3232" xr:uid="{00000000-0005-0000-0000-00009F0C0000}"/>
    <cellStyle name="Нейтральный 2 10" xfId="3233" xr:uid="{00000000-0005-0000-0000-0000A00C0000}"/>
    <cellStyle name="Нейтральный 2 11" xfId="3234" xr:uid="{00000000-0005-0000-0000-0000A10C0000}"/>
    <cellStyle name="Нейтральный 2 12" xfId="3235" xr:uid="{00000000-0005-0000-0000-0000A20C0000}"/>
    <cellStyle name="Нейтральный 2 13" xfId="3236" xr:uid="{00000000-0005-0000-0000-0000A30C0000}"/>
    <cellStyle name="Нейтральный 2 2" xfId="3237" xr:uid="{00000000-0005-0000-0000-0000A40C0000}"/>
    <cellStyle name="Нейтральный 2 2 2" xfId="3238" xr:uid="{00000000-0005-0000-0000-0000A50C0000}"/>
    <cellStyle name="Нейтральный 2 3" xfId="3239" xr:uid="{00000000-0005-0000-0000-0000A60C0000}"/>
    <cellStyle name="Нейтральный 2 3 2" xfId="3240" xr:uid="{00000000-0005-0000-0000-0000A70C0000}"/>
    <cellStyle name="Нейтральный 2 4" xfId="3241" xr:uid="{00000000-0005-0000-0000-0000A80C0000}"/>
    <cellStyle name="Нейтральный 2 4 2" xfId="3242" xr:uid="{00000000-0005-0000-0000-0000A90C0000}"/>
    <cellStyle name="Нейтральный 2 5" xfId="3243" xr:uid="{00000000-0005-0000-0000-0000AA0C0000}"/>
    <cellStyle name="Нейтральный 2 5 2" xfId="3244" xr:uid="{00000000-0005-0000-0000-0000AB0C0000}"/>
    <cellStyle name="Нейтральный 2 6" xfId="3245" xr:uid="{00000000-0005-0000-0000-0000AC0C0000}"/>
    <cellStyle name="Нейтральный 2 6 2" xfId="3246" xr:uid="{00000000-0005-0000-0000-0000AD0C0000}"/>
    <cellStyle name="Нейтральный 2 7" xfId="3247" xr:uid="{00000000-0005-0000-0000-0000AE0C0000}"/>
    <cellStyle name="Нейтральный 2 8" xfId="3248" xr:uid="{00000000-0005-0000-0000-0000AF0C0000}"/>
    <cellStyle name="Нейтральный 2 9" xfId="3249" xr:uid="{00000000-0005-0000-0000-0000B00C0000}"/>
    <cellStyle name="Нейтральный 3" xfId="3250" xr:uid="{00000000-0005-0000-0000-0000B10C0000}"/>
    <cellStyle name="Нейтральный 3 2" xfId="3251" xr:uid="{00000000-0005-0000-0000-0000B20C0000}"/>
    <cellStyle name="Нейтральный 4" xfId="3252" xr:uid="{00000000-0005-0000-0000-0000B30C0000}"/>
    <cellStyle name="Нейтральный 5" xfId="3253" xr:uid="{00000000-0005-0000-0000-0000B40C0000}"/>
    <cellStyle name="Нейтральный 6" xfId="3254" xr:uid="{00000000-0005-0000-0000-0000B50C0000}"/>
    <cellStyle name="Нейтральный 7" xfId="3255" xr:uid="{00000000-0005-0000-0000-0000B60C0000}"/>
    <cellStyle name="Нейтральный 8" xfId="3256" xr:uid="{00000000-0005-0000-0000-0000B70C0000}"/>
    <cellStyle name="Нейтральный 9" xfId="3257" xr:uid="{00000000-0005-0000-0000-0000B80C0000}"/>
    <cellStyle name="ОбСмета" xfId="3258" xr:uid="{00000000-0005-0000-0000-0000B90C0000}"/>
    <cellStyle name="ОбСмета 2" xfId="3259" xr:uid="{00000000-0005-0000-0000-0000BA0C0000}"/>
    <cellStyle name="ОбСмета 3" xfId="3260" xr:uid="{00000000-0005-0000-0000-0000BB0C0000}"/>
    <cellStyle name="ОбСмета 4" xfId="3261" xr:uid="{00000000-0005-0000-0000-0000BC0C0000}"/>
    <cellStyle name="ОбСмета 5" xfId="3262" xr:uid="{00000000-0005-0000-0000-0000BD0C0000}"/>
    <cellStyle name="Обычный" xfId="0" builtinId="0"/>
    <cellStyle name="Обычный 10" xfId="3263" xr:uid="{00000000-0005-0000-0000-0000BF0C0000}"/>
    <cellStyle name="Обычный 10 2" xfId="3264" xr:uid="{00000000-0005-0000-0000-0000C00C0000}"/>
    <cellStyle name="Обычный 10 2 2" xfId="3265" xr:uid="{00000000-0005-0000-0000-0000C10C0000}"/>
    <cellStyle name="Обычный 10 2 2 2" xfId="3266" xr:uid="{00000000-0005-0000-0000-0000C20C0000}"/>
    <cellStyle name="Обычный 10 2 2 6" xfId="3267" xr:uid="{00000000-0005-0000-0000-0000C30C0000}"/>
    <cellStyle name="Обычный 10 2 3" xfId="3268" xr:uid="{00000000-0005-0000-0000-0000C40C0000}"/>
    <cellStyle name="Обычный 10 2 4" xfId="3269" xr:uid="{00000000-0005-0000-0000-0000C50C0000}"/>
    <cellStyle name="Обычный 10 2 5" xfId="3270" xr:uid="{00000000-0005-0000-0000-0000C60C0000}"/>
    <cellStyle name="Обычный 10 3" xfId="3271" xr:uid="{00000000-0005-0000-0000-0000C70C0000}"/>
    <cellStyle name="Обычный 10 3 2" xfId="3272" xr:uid="{00000000-0005-0000-0000-0000C80C0000}"/>
    <cellStyle name="Обычный 10 4" xfId="3273" xr:uid="{00000000-0005-0000-0000-0000C90C0000}"/>
    <cellStyle name="Обычный 101" xfId="3274" xr:uid="{00000000-0005-0000-0000-0000CA0C0000}"/>
    <cellStyle name="Обычный 101 2" xfId="3275" xr:uid="{00000000-0005-0000-0000-0000CB0C0000}"/>
    <cellStyle name="Обычный 101 2 2 2 2 2" xfId="3276" xr:uid="{00000000-0005-0000-0000-0000CC0C0000}"/>
    <cellStyle name="Обычный 102" xfId="3277" xr:uid="{00000000-0005-0000-0000-0000CD0C0000}"/>
    <cellStyle name="Обычный 102 2" xfId="3278" xr:uid="{00000000-0005-0000-0000-0000CE0C0000}"/>
    <cellStyle name="Обычный 103" xfId="3279" xr:uid="{00000000-0005-0000-0000-0000CF0C0000}"/>
    <cellStyle name="Обычный 103 2" xfId="3280" xr:uid="{00000000-0005-0000-0000-0000D00C0000}"/>
    <cellStyle name="Обычный 107" xfId="3281" xr:uid="{00000000-0005-0000-0000-0000D10C0000}"/>
    <cellStyle name="Обычный 108" xfId="3282" xr:uid="{00000000-0005-0000-0000-0000D20C0000}"/>
    <cellStyle name="Обычный 108 2" xfId="3283" xr:uid="{00000000-0005-0000-0000-0000D30C0000}"/>
    <cellStyle name="Обычный 11" xfId="3284" xr:uid="{00000000-0005-0000-0000-0000D40C0000}"/>
    <cellStyle name="Обычный 11 2" xfId="3285" xr:uid="{00000000-0005-0000-0000-0000D50C0000}"/>
    <cellStyle name="Обычный 11 2 2" xfId="3286" xr:uid="{00000000-0005-0000-0000-0000D60C0000}"/>
    <cellStyle name="Обычный 11 2 3" xfId="3287" xr:uid="{00000000-0005-0000-0000-0000D70C0000}"/>
    <cellStyle name="Обычный 11 3" xfId="3288" xr:uid="{00000000-0005-0000-0000-0000D80C0000}"/>
    <cellStyle name="Обычный 11 3 2" xfId="3289" xr:uid="{00000000-0005-0000-0000-0000D90C0000}"/>
    <cellStyle name="Обычный 11 4" xfId="3290" xr:uid="{00000000-0005-0000-0000-0000DA0C0000}"/>
    <cellStyle name="Обычный 11 5" xfId="3291" xr:uid="{00000000-0005-0000-0000-0000DB0C0000}"/>
    <cellStyle name="Обычный 11 6" xfId="3292" xr:uid="{00000000-0005-0000-0000-0000DC0C0000}"/>
    <cellStyle name="Обычный 11 7" xfId="3293" xr:uid="{00000000-0005-0000-0000-0000DD0C0000}"/>
    <cellStyle name="Обычный 11 8" xfId="3294" xr:uid="{00000000-0005-0000-0000-0000DE0C0000}"/>
    <cellStyle name="Обычный 112" xfId="3295" xr:uid="{00000000-0005-0000-0000-0000DF0C0000}"/>
    <cellStyle name="Обычный 114" xfId="3296" xr:uid="{00000000-0005-0000-0000-0000E00C0000}"/>
    <cellStyle name="Обычный 114 2" xfId="3297" xr:uid="{00000000-0005-0000-0000-0000E10C0000}"/>
    <cellStyle name="Обычный 117" xfId="3298" xr:uid="{00000000-0005-0000-0000-0000E20C0000}"/>
    <cellStyle name="Обычный 117 2" xfId="3299" xr:uid="{00000000-0005-0000-0000-0000E30C0000}"/>
    <cellStyle name="Обычный 118" xfId="3300" xr:uid="{00000000-0005-0000-0000-0000E40C0000}"/>
    <cellStyle name="Обычный 119 2" xfId="3301" xr:uid="{00000000-0005-0000-0000-0000E50C0000}"/>
    <cellStyle name="Обычный 12" xfId="3302" xr:uid="{00000000-0005-0000-0000-0000E60C0000}"/>
    <cellStyle name="Обычный 12 2" xfId="3303" xr:uid="{00000000-0005-0000-0000-0000E70C0000}"/>
    <cellStyle name="Обычный 12 2 2" xfId="3304" xr:uid="{00000000-0005-0000-0000-0000E80C0000}"/>
    <cellStyle name="Обычный 12 2 5" xfId="3305" xr:uid="{00000000-0005-0000-0000-0000E90C0000}"/>
    <cellStyle name="Обычный 12 3" xfId="3306" xr:uid="{00000000-0005-0000-0000-0000EA0C0000}"/>
    <cellStyle name="Обычный 120" xfId="3307" xr:uid="{00000000-0005-0000-0000-0000EB0C0000}"/>
    <cellStyle name="Обычный 120 2" xfId="3308" xr:uid="{00000000-0005-0000-0000-0000EC0C0000}"/>
    <cellStyle name="Обычный 121" xfId="3309" xr:uid="{00000000-0005-0000-0000-0000ED0C0000}"/>
    <cellStyle name="Обычный 122" xfId="3310" xr:uid="{00000000-0005-0000-0000-0000EE0C0000}"/>
    <cellStyle name="Обычный 122 2" xfId="3311" xr:uid="{00000000-0005-0000-0000-0000EF0C0000}"/>
    <cellStyle name="Обычный 123 2" xfId="3312" xr:uid="{00000000-0005-0000-0000-0000F00C0000}"/>
    <cellStyle name="Обычный 124" xfId="3313" xr:uid="{00000000-0005-0000-0000-0000F10C0000}"/>
    <cellStyle name="Обычный 125" xfId="3314" xr:uid="{00000000-0005-0000-0000-0000F20C0000}"/>
    <cellStyle name="Обычный 125 2" xfId="3315" xr:uid="{00000000-0005-0000-0000-0000F30C0000}"/>
    <cellStyle name="Обычный 126" xfId="3316" xr:uid="{00000000-0005-0000-0000-0000F40C0000}"/>
    <cellStyle name="Обычный 126 2" xfId="3317" xr:uid="{00000000-0005-0000-0000-0000F50C0000}"/>
    <cellStyle name="Обычный 127" xfId="3318" xr:uid="{00000000-0005-0000-0000-0000F60C0000}"/>
    <cellStyle name="Обычный 128" xfId="3319" xr:uid="{00000000-0005-0000-0000-0000F70C0000}"/>
    <cellStyle name="Обычный 129" xfId="3320" xr:uid="{00000000-0005-0000-0000-0000F80C0000}"/>
    <cellStyle name="Обычный 129 2" xfId="3321" xr:uid="{00000000-0005-0000-0000-0000F90C0000}"/>
    <cellStyle name="Обычный 13" xfId="3322" xr:uid="{00000000-0005-0000-0000-0000FA0C0000}"/>
    <cellStyle name="Обычный 13 2" xfId="3323" xr:uid="{00000000-0005-0000-0000-0000FB0C0000}"/>
    <cellStyle name="Обычный 13 2 2" xfId="3324" xr:uid="{00000000-0005-0000-0000-0000FC0C0000}"/>
    <cellStyle name="Обычный 13 2 3" xfId="3325" xr:uid="{00000000-0005-0000-0000-0000FD0C0000}"/>
    <cellStyle name="Обычный 13 2 4" xfId="3326" xr:uid="{00000000-0005-0000-0000-0000FE0C0000}"/>
    <cellStyle name="Обычный 13 3" xfId="3327" xr:uid="{00000000-0005-0000-0000-0000FF0C0000}"/>
    <cellStyle name="Обычный 13 3 10" xfId="3328" xr:uid="{00000000-0005-0000-0000-0000000D0000}"/>
    <cellStyle name="Обычный 13 3 10 2" xfId="3329" xr:uid="{00000000-0005-0000-0000-0000010D0000}"/>
    <cellStyle name="Обычный 13 3 11" xfId="3330" xr:uid="{00000000-0005-0000-0000-0000020D0000}"/>
    <cellStyle name="Обычный 13 3 2" xfId="3331" xr:uid="{00000000-0005-0000-0000-0000030D0000}"/>
    <cellStyle name="Обычный 13 3 2 2" xfId="3332" xr:uid="{00000000-0005-0000-0000-0000040D0000}"/>
    <cellStyle name="Обычный 13 3 2 2 2" xfId="3333" xr:uid="{00000000-0005-0000-0000-0000050D0000}"/>
    <cellStyle name="Обычный 13 3 2 2 3" xfId="3334" xr:uid="{00000000-0005-0000-0000-0000060D0000}"/>
    <cellStyle name="Обычный 13 3 2 3" xfId="3335" xr:uid="{00000000-0005-0000-0000-0000070D0000}"/>
    <cellStyle name="Обычный 13 3 2 3 2" xfId="3336" xr:uid="{00000000-0005-0000-0000-0000080D0000}"/>
    <cellStyle name="Обычный 13 3 2 4" xfId="3337" xr:uid="{00000000-0005-0000-0000-0000090D0000}"/>
    <cellStyle name="Обычный 13 3 2 5" xfId="3338" xr:uid="{00000000-0005-0000-0000-00000A0D0000}"/>
    <cellStyle name="Обычный 13 3 3" xfId="3339" xr:uid="{00000000-0005-0000-0000-00000B0D0000}"/>
    <cellStyle name="Обычный 13 3 3 2" xfId="3340" xr:uid="{00000000-0005-0000-0000-00000C0D0000}"/>
    <cellStyle name="Обычный 13 3 3 2 2" xfId="3341" xr:uid="{00000000-0005-0000-0000-00000D0D0000}"/>
    <cellStyle name="Обычный 13 3 3 2 3" xfId="3342" xr:uid="{00000000-0005-0000-0000-00000E0D0000}"/>
    <cellStyle name="Обычный 13 3 3 3" xfId="3343" xr:uid="{00000000-0005-0000-0000-00000F0D0000}"/>
    <cellStyle name="Обычный 13 3 3 3 2" xfId="3344" xr:uid="{00000000-0005-0000-0000-0000100D0000}"/>
    <cellStyle name="Обычный 13 3 3 4" xfId="3345" xr:uid="{00000000-0005-0000-0000-0000110D0000}"/>
    <cellStyle name="Обычный 13 3 3 5" xfId="3346" xr:uid="{00000000-0005-0000-0000-0000120D0000}"/>
    <cellStyle name="Обычный 13 3 4" xfId="3347" xr:uid="{00000000-0005-0000-0000-0000130D0000}"/>
    <cellStyle name="Обычный 13 3 5" xfId="3348" xr:uid="{00000000-0005-0000-0000-0000140D0000}"/>
    <cellStyle name="Обычный 13 3 5 2" xfId="3349" xr:uid="{00000000-0005-0000-0000-0000150D0000}"/>
    <cellStyle name="Обычный 13 3 5 2 2" xfId="3350" xr:uid="{00000000-0005-0000-0000-0000160D0000}"/>
    <cellStyle name="Обычный 13 3 5 2 3" xfId="3351" xr:uid="{00000000-0005-0000-0000-0000170D0000}"/>
    <cellStyle name="Обычный 13 3 5 3" xfId="3352" xr:uid="{00000000-0005-0000-0000-0000180D0000}"/>
    <cellStyle name="Обычный 13 3 5 3 2" xfId="3353" xr:uid="{00000000-0005-0000-0000-0000190D0000}"/>
    <cellStyle name="Обычный 13 3 5 4" xfId="3354" xr:uid="{00000000-0005-0000-0000-00001A0D0000}"/>
    <cellStyle name="Обычный 13 3 5 5" xfId="3355" xr:uid="{00000000-0005-0000-0000-00001B0D0000}"/>
    <cellStyle name="Обычный 13 3 6" xfId="3356" xr:uid="{00000000-0005-0000-0000-00001C0D0000}"/>
    <cellStyle name="Обычный 13 3 6 2" xfId="3357" xr:uid="{00000000-0005-0000-0000-00001D0D0000}"/>
    <cellStyle name="Обычный 13 3 6 2 2" xfId="3358" xr:uid="{00000000-0005-0000-0000-00001E0D0000}"/>
    <cellStyle name="Обычный 13 3 6 2 3" xfId="3359" xr:uid="{00000000-0005-0000-0000-00001F0D0000}"/>
    <cellStyle name="Обычный 13 3 6 3" xfId="3360" xr:uid="{00000000-0005-0000-0000-0000200D0000}"/>
    <cellStyle name="Обычный 13 3 6 3 2" xfId="3361" xr:uid="{00000000-0005-0000-0000-0000210D0000}"/>
    <cellStyle name="Обычный 13 3 6 4" xfId="3362" xr:uid="{00000000-0005-0000-0000-0000220D0000}"/>
    <cellStyle name="Обычный 13 3 6 5" xfId="3363" xr:uid="{00000000-0005-0000-0000-0000230D0000}"/>
    <cellStyle name="Обычный 13 3 7" xfId="3364" xr:uid="{00000000-0005-0000-0000-0000240D0000}"/>
    <cellStyle name="Обычный 13 3 7 2" xfId="3365" xr:uid="{00000000-0005-0000-0000-0000250D0000}"/>
    <cellStyle name="Обычный 13 3 7 2 2" xfId="3366" xr:uid="{00000000-0005-0000-0000-0000260D0000}"/>
    <cellStyle name="Обычный 13 3 7 2 2 2" xfId="3367" xr:uid="{00000000-0005-0000-0000-0000270D0000}"/>
    <cellStyle name="Обычный 13 3 7 2 3" xfId="3368" xr:uid="{00000000-0005-0000-0000-0000280D0000}"/>
    <cellStyle name="Обычный 13 3 7 2 4" xfId="3369" xr:uid="{00000000-0005-0000-0000-0000290D0000}"/>
    <cellStyle name="Обычный 13 3 7 3" xfId="3370" xr:uid="{00000000-0005-0000-0000-00002A0D0000}"/>
    <cellStyle name="Обычный 13 3 7 4" xfId="3371" xr:uid="{00000000-0005-0000-0000-00002B0D0000}"/>
    <cellStyle name="Обычный 13 3 8" xfId="3372" xr:uid="{00000000-0005-0000-0000-00002C0D0000}"/>
    <cellStyle name="Обычный 13 3 9" xfId="3373" xr:uid="{00000000-0005-0000-0000-00002D0D0000}"/>
    <cellStyle name="Обычный 13 3 9 2" xfId="3374" xr:uid="{00000000-0005-0000-0000-00002E0D0000}"/>
    <cellStyle name="Обычный 13 3 9 3" xfId="3375" xr:uid="{00000000-0005-0000-0000-00002F0D0000}"/>
    <cellStyle name="Обычный 13 4" xfId="3376" xr:uid="{00000000-0005-0000-0000-0000300D0000}"/>
    <cellStyle name="Обычный 13 4 2" xfId="3377" xr:uid="{00000000-0005-0000-0000-0000310D0000}"/>
    <cellStyle name="Обычный 13 4 3" xfId="3378" xr:uid="{00000000-0005-0000-0000-0000320D0000}"/>
    <cellStyle name="Обычный 13 5" xfId="3379" xr:uid="{00000000-0005-0000-0000-0000330D0000}"/>
    <cellStyle name="Обычный 130" xfId="3380" xr:uid="{00000000-0005-0000-0000-0000340D0000}"/>
    <cellStyle name="Обычный 130 2" xfId="3381" xr:uid="{00000000-0005-0000-0000-0000350D0000}"/>
    <cellStyle name="Обычный 131" xfId="3382" xr:uid="{00000000-0005-0000-0000-0000360D0000}"/>
    <cellStyle name="Обычный 132" xfId="3383" xr:uid="{00000000-0005-0000-0000-0000370D0000}"/>
    <cellStyle name="Обычный 132 2" xfId="3384" xr:uid="{00000000-0005-0000-0000-0000380D0000}"/>
    <cellStyle name="Обычный 133" xfId="3385" xr:uid="{00000000-0005-0000-0000-0000390D0000}"/>
    <cellStyle name="Обычный 134" xfId="3386" xr:uid="{00000000-0005-0000-0000-00003A0D0000}"/>
    <cellStyle name="Обычный 135" xfId="3387" xr:uid="{00000000-0005-0000-0000-00003B0D0000}"/>
    <cellStyle name="Обычный 136" xfId="3388" xr:uid="{00000000-0005-0000-0000-00003C0D0000}"/>
    <cellStyle name="Обычный 137" xfId="3389" xr:uid="{00000000-0005-0000-0000-00003D0D0000}"/>
    <cellStyle name="Обычный 138" xfId="3390" xr:uid="{00000000-0005-0000-0000-00003E0D0000}"/>
    <cellStyle name="Обычный 14" xfId="3391" xr:uid="{00000000-0005-0000-0000-00003F0D0000}"/>
    <cellStyle name="Обычный 14 10" xfId="3392" xr:uid="{00000000-0005-0000-0000-0000400D0000}"/>
    <cellStyle name="Обычный 14 10 2" xfId="3393" xr:uid="{00000000-0005-0000-0000-0000410D0000}"/>
    <cellStyle name="Обычный 14 10 2 2" xfId="3394" xr:uid="{00000000-0005-0000-0000-0000420D0000}"/>
    <cellStyle name="Обычный 14 10 2 3" xfId="3395" xr:uid="{00000000-0005-0000-0000-0000430D0000}"/>
    <cellStyle name="Обычный 14 10 3" xfId="3396" xr:uid="{00000000-0005-0000-0000-0000440D0000}"/>
    <cellStyle name="Обычный 14 10 3 2" xfId="3397" xr:uid="{00000000-0005-0000-0000-0000450D0000}"/>
    <cellStyle name="Обычный 14 10 4" xfId="3398" xr:uid="{00000000-0005-0000-0000-0000460D0000}"/>
    <cellStyle name="Обычный 14 10 5" xfId="3399" xr:uid="{00000000-0005-0000-0000-0000470D0000}"/>
    <cellStyle name="Обычный 14 11" xfId="3400" xr:uid="{00000000-0005-0000-0000-0000480D0000}"/>
    <cellStyle name="Обычный 14 11 2" xfId="3401" xr:uid="{00000000-0005-0000-0000-0000490D0000}"/>
    <cellStyle name="Обычный 14 11 2 2" xfId="3402" xr:uid="{00000000-0005-0000-0000-00004A0D0000}"/>
    <cellStyle name="Обычный 14 11 2 3" xfId="3403" xr:uid="{00000000-0005-0000-0000-00004B0D0000}"/>
    <cellStyle name="Обычный 14 11 3" xfId="3404" xr:uid="{00000000-0005-0000-0000-00004C0D0000}"/>
    <cellStyle name="Обычный 14 11 3 2" xfId="3405" xr:uid="{00000000-0005-0000-0000-00004D0D0000}"/>
    <cellStyle name="Обычный 14 11 4" xfId="3406" xr:uid="{00000000-0005-0000-0000-00004E0D0000}"/>
    <cellStyle name="Обычный 14 11 5" xfId="3407" xr:uid="{00000000-0005-0000-0000-00004F0D0000}"/>
    <cellStyle name="Обычный 14 12" xfId="3408" xr:uid="{00000000-0005-0000-0000-0000500D0000}"/>
    <cellStyle name="Обычный 14 12 2" xfId="3409" xr:uid="{00000000-0005-0000-0000-0000510D0000}"/>
    <cellStyle name="Обычный 14 12 2 2" xfId="3410" xr:uid="{00000000-0005-0000-0000-0000520D0000}"/>
    <cellStyle name="Обычный 14 12 2 3" xfId="3411" xr:uid="{00000000-0005-0000-0000-0000530D0000}"/>
    <cellStyle name="Обычный 14 12 3" xfId="3412" xr:uid="{00000000-0005-0000-0000-0000540D0000}"/>
    <cellStyle name="Обычный 14 12 3 2" xfId="3413" xr:uid="{00000000-0005-0000-0000-0000550D0000}"/>
    <cellStyle name="Обычный 14 12 4" xfId="3414" xr:uid="{00000000-0005-0000-0000-0000560D0000}"/>
    <cellStyle name="Обычный 14 12 5" xfId="3415" xr:uid="{00000000-0005-0000-0000-0000570D0000}"/>
    <cellStyle name="Обычный 14 13" xfId="3416" xr:uid="{00000000-0005-0000-0000-0000580D0000}"/>
    <cellStyle name="Обычный 14 13 2" xfId="3417" xr:uid="{00000000-0005-0000-0000-0000590D0000}"/>
    <cellStyle name="Обычный 14 13 2 2" xfId="3418" xr:uid="{00000000-0005-0000-0000-00005A0D0000}"/>
    <cellStyle name="Обычный 14 13 2 3" xfId="3419" xr:uid="{00000000-0005-0000-0000-00005B0D0000}"/>
    <cellStyle name="Обычный 14 13 3" xfId="3420" xr:uid="{00000000-0005-0000-0000-00005C0D0000}"/>
    <cellStyle name="Обычный 14 13 3 2" xfId="3421" xr:uid="{00000000-0005-0000-0000-00005D0D0000}"/>
    <cellStyle name="Обычный 14 13 4" xfId="3422" xr:uid="{00000000-0005-0000-0000-00005E0D0000}"/>
    <cellStyle name="Обычный 14 13 5" xfId="3423" xr:uid="{00000000-0005-0000-0000-00005F0D0000}"/>
    <cellStyle name="Обычный 14 14" xfId="3424" xr:uid="{00000000-0005-0000-0000-0000600D0000}"/>
    <cellStyle name="Обычный 14 14 2" xfId="3425" xr:uid="{00000000-0005-0000-0000-0000610D0000}"/>
    <cellStyle name="Обычный 14 14 3" xfId="3426" xr:uid="{00000000-0005-0000-0000-0000620D0000}"/>
    <cellStyle name="Обычный 14 15" xfId="3427" xr:uid="{00000000-0005-0000-0000-0000630D0000}"/>
    <cellStyle name="Обычный 14 15 2" xfId="3428" xr:uid="{00000000-0005-0000-0000-0000640D0000}"/>
    <cellStyle name="Обычный 14 16" xfId="3429" xr:uid="{00000000-0005-0000-0000-0000650D0000}"/>
    <cellStyle name="Обычный 14 17" xfId="3430" xr:uid="{00000000-0005-0000-0000-0000660D0000}"/>
    <cellStyle name="Обычный 14 18" xfId="3431" xr:uid="{00000000-0005-0000-0000-0000670D0000}"/>
    <cellStyle name="Обычный 14 2" xfId="3432" xr:uid="{00000000-0005-0000-0000-0000680D0000}"/>
    <cellStyle name="Обычный 14 2 2" xfId="3433" xr:uid="{00000000-0005-0000-0000-0000690D0000}"/>
    <cellStyle name="Обычный 14 2 3" xfId="3434" xr:uid="{00000000-0005-0000-0000-00006A0D0000}"/>
    <cellStyle name="Обычный 14 2 3 2" xfId="3435" xr:uid="{00000000-0005-0000-0000-00006B0D0000}"/>
    <cellStyle name="Обычный 14 2 3 2 2" xfId="3436" xr:uid="{00000000-0005-0000-0000-00006C0D0000}"/>
    <cellStyle name="Обычный 14 2 3 2 3" xfId="3437" xr:uid="{00000000-0005-0000-0000-00006D0D0000}"/>
    <cellStyle name="Обычный 14 2 3 3" xfId="3438" xr:uid="{00000000-0005-0000-0000-00006E0D0000}"/>
    <cellStyle name="Обычный 14 2 3 3 2" xfId="3439" xr:uid="{00000000-0005-0000-0000-00006F0D0000}"/>
    <cellStyle name="Обычный 14 2 3 4" xfId="3440" xr:uid="{00000000-0005-0000-0000-0000700D0000}"/>
    <cellStyle name="Обычный 14 2 3 5" xfId="3441" xr:uid="{00000000-0005-0000-0000-0000710D0000}"/>
    <cellStyle name="Обычный 14 2 4" xfId="3442" xr:uid="{00000000-0005-0000-0000-0000720D0000}"/>
    <cellStyle name="Обычный 14 2 4 2" xfId="3443" xr:uid="{00000000-0005-0000-0000-0000730D0000}"/>
    <cellStyle name="Обычный 14 2 4 2 2" xfId="3444" xr:uid="{00000000-0005-0000-0000-0000740D0000}"/>
    <cellStyle name="Обычный 14 2 4 3" xfId="3445" xr:uid="{00000000-0005-0000-0000-0000750D0000}"/>
    <cellStyle name="Обычный 14 2 4 4" xfId="3446" xr:uid="{00000000-0005-0000-0000-0000760D0000}"/>
    <cellStyle name="Обычный 14 2 5" xfId="3447" xr:uid="{00000000-0005-0000-0000-0000770D0000}"/>
    <cellStyle name="Обычный 14 2 6" xfId="3448" xr:uid="{00000000-0005-0000-0000-0000780D0000}"/>
    <cellStyle name="Обычный 14 2 7" xfId="3449" xr:uid="{00000000-0005-0000-0000-0000790D0000}"/>
    <cellStyle name="Обычный 14 3" xfId="3450" xr:uid="{00000000-0005-0000-0000-00007A0D0000}"/>
    <cellStyle name="Обычный 14 3 2" xfId="3451" xr:uid="{00000000-0005-0000-0000-00007B0D0000}"/>
    <cellStyle name="Обычный 14 3 2 2" xfId="3452" xr:uid="{00000000-0005-0000-0000-00007C0D0000}"/>
    <cellStyle name="Обычный 14 3 2 2 2" xfId="3453" xr:uid="{00000000-0005-0000-0000-00007D0D0000}"/>
    <cellStyle name="Обычный 14 3 2 2 3" xfId="3454" xr:uid="{00000000-0005-0000-0000-00007E0D0000}"/>
    <cellStyle name="Обычный 14 3 2 3" xfId="3455" xr:uid="{00000000-0005-0000-0000-00007F0D0000}"/>
    <cellStyle name="Обычный 14 3 2 3 2" xfId="3456" xr:uid="{00000000-0005-0000-0000-0000800D0000}"/>
    <cellStyle name="Обычный 14 3 2 4" xfId="3457" xr:uid="{00000000-0005-0000-0000-0000810D0000}"/>
    <cellStyle name="Обычный 14 3 2 5" xfId="3458" xr:uid="{00000000-0005-0000-0000-0000820D0000}"/>
    <cellStyle name="Обычный 14 3 3" xfId="3459" xr:uid="{00000000-0005-0000-0000-0000830D0000}"/>
    <cellStyle name="Обычный 14 3 4" xfId="3460" xr:uid="{00000000-0005-0000-0000-0000840D0000}"/>
    <cellStyle name="Обычный 14 3 4 2" xfId="3461" xr:uid="{00000000-0005-0000-0000-0000850D0000}"/>
    <cellStyle name="Обычный 14 3 4 3" xfId="3462" xr:uid="{00000000-0005-0000-0000-0000860D0000}"/>
    <cellStyle name="Обычный 14 3 5" xfId="3463" xr:uid="{00000000-0005-0000-0000-0000870D0000}"/>
    <cellStyle name="Обычный 14 3 5 2" xfId="3464" xr:uid="{00000000-0005-0000-0000-0000880D0000}"/>
    <cellStyle name="Обычный 14 3 6" xfId="3465" xr:uid="{00000000-0005-0000-0000-0000890D0000}"/>
    <cellStyle name="Обычный 14 3 7" xfId="3466" xr:uid="{00000000-0005-0000-0000-00008A0D0000}"/>
    <cellStyle name="Обычный 14 4" xfId="3467" xr:uid="{00000000-0005-0000-0000-00008B0D0000}"/>
    <cellStyle name="Обычный 14 4 2" xfId="3468" xr:uid="{00000000-0005-0000-0000-00008C0D0000}"/>
    <cellStyle name="Обычный 14 4 2 2" xfId="3469" xr:uid="{00000000-0005-0000-0000-00008D0D0000}"/>
    <cellStyle name="Обычный 14 4 2 2 2" xfId="3470" xr:uid="{00000000-0005-0000-0000-00008E0D0000}"/>
    <cellStyle name="Обычный 14 4 2 2 3" xfId="3471" xr:uid="{00000000-0005-0000-0000-00008F0D0000}"/>
    <cellStyle name="Обычный 14 4 2 3" xfId="3472" xr:uid="{00000000-0005-0000-0000-0000900D0000}"/>
    <cellStyle name="Обычный 14 4 2 3 2" xfId="3473" xr:uid="{00000000-0005-0000-0000-0000910D0000}"/>
    <cellStyle name="Обычный 14 4 2 4" xfId="3474" xr:uid="{00000000-0005-0000-0000-0000920D0000}"/>
    <cellStyle name="Обычный 14 4 2 5" xfId="3475" xr:uid="{00000000-0005-0000-0000-0000930D0000}"/>
    <cellStyle name="Обычный 14 4 3" xfId="3476" xr:uid="{00000000-0005-0000-0000-0000940D0000}"/>
    <cellStyle name="Обычный 14 4 4" xfId="3477" xr:uid="{00000000-0005-0000-0000-0000950D0000}"/>
    <cellStyle name="Обычный 14 4 4 2" xfId="3478" xr:uid="{00000000-0005-0000-0000-0000960D0000}"/>
    <cellStyle name="Обычный 14 4 4 3" xfId="3479" xr:uid="{00000000-0005-0000-0000-0000970D0000}"/>
    <cellStyle name="Обычный 14 4 5" xfId="3480" xr:uid="{00000000-0005-0000-0000-0000980D0000}"/>
    <cellStyle name="Обычный 14 4 5 2" xfId="3481" xr:uid="{00000000-0005-0000-0000-0000990D0000}"/>
    <cellStyle name="Обычный 14 4 6" xfId="3482" xr:uid="{00000000-0005-0000-0000-00009A0D0000}"/>
    <cellStyle name="Обычный 14 4 7" xfId="3483" xr:uid="{00000000-0005-0000-0000-00009B0D0000}"/>
    <cellStyle name="Обычный 14 5" xfId="3484" xr:uid="{00000000-0005-0000-0000-00009C0D0000}"/>
    <cellStyle name="Обычный 14 5 2" xfId="3485" xr:uid="{00000000-0005-0000-0000-00009D0D0000}"/>
    <cellStyle name="Обычный 14 5 2 2" xfId="3486" xr:uid="{00000000-0005-0000-0000-00009E0D0000}"/>
    <cellStyle name="Обычный 14 5 2 2 2" xfId="3487" xr:uid="{00000000-0005-0000-0000-00009F0D0000}"/>
    <cellStyle name="Обычный 14 5 2 2 3" xfId="3488" xr:uid="{00000000-0005-0000-0000-0000A00D0000}"/>
    <cellStyle name="Обычный 14 5 2 3" xfId="3489" xr:uid="{00000000-0005-0000-0000-0000A10D0000}"/>
    <cellStyle name="Обычный 14 5 2 3 2" xfId="3490" xr:uid="{00000000-0005-0000-0000-0000A20D0000}"/>
    <cellStyle name="Обычный 14 5 2 4" xfId="3491" xr:uid="{00000000-0005-0000-0000-0000A30D0000}"/>
    <cellStyle name="Обычный 14 5 2 5" xfId="3492" xr:uid="{00000000-0005-0000-0000-0000A40D0000}"/>
    <cellStyle name="Обычный 14 5 3" xfId="3493" xr:uid="{00000000-0005-0000-0000-0000A50D0000}"/>
    <cellStyle name="Обычный 14 5 3 2" xfId="3494" xr:uid="{00000000-0005-0000-0000-0000A60D0000}"/>
    <cellStyle name="Обычный 14 5 3 3" xfId="3495" xr:uid="{00000000-0005-0000-0000-0000A70D0000}"/>
    <cellStyle name="Обычный 14 5 4" xfId="3496" xr:uid="{00000000-0005-0000-0000-0000A80D0000}"/>
    <cellStyle name="Обычный 14 5 4 2" xfId="3497" xr:uid="{00000000-0005-0000-0000-0000A90D0000}"/>
    <cellStyle name="Обычный 14 5 5" xfId="3498" xr:uid="{00000000-0005-0000-0000-0000AA0D0000}"/>
    <cellStyle name="Обычный 14 5 6" xfId="3499" xr:uid="{00000000-0005-0000-0000-0000AB0D0000}"/>
    <cellStyle name="Обычный 14 6" xfId="3500" xr:uid="{00000000-0005-0000-0000-0000AC0D0000}"/>
    <cellStyle name="Обычный 14 6 2" xfId="3501" xr:uid="{00000000-0005-0000-0000-0000AD0D0000}"/>
    <cellStyle name="Обычный 14 6 2 2" xfId="3502" xr:uid="{00000000-0005-0000-0000-0000AE0D0000}"/>
    <cellStyle name="Обычный 14 6 2 2 2" xfId="3503" xr:uid="{00000000-0005-0000-0000-0000AF0D0000}"/>
    <cellStyle name="Обычный 14 6 2 2 3" xfId="3504" xr:uid="{00000000-0005-0000-0000-0000B00D0000}"/>
    <cellStyle name="Обычный 14 6 2 3" xfId="3505" xr:uid="{00000000-0005-0000-0000-0000B10D0000}"/>
    <cellStyle name="Обычный 14 6 2 3 2" xfId="3506" xr:uid="{00000000-0005-0000-0000-0000B20D0000}"/>
    <cellStyle name="Обычный 14 6 2 4" xfId="3507" xr:uid="{00000000-0005-0000-0000-0000B30D0000}"/>
    <cellStyle name="Обычный 14 6 2 5" xfId="3508" xr:uid="{00000000-0005-0000-0000-0000B40D0000}"/>
    <cellStyle name="Обычный 14 6 3" xfId="3509" xr:uid="{00000000-0005-0000-0000-0000B50D0000}"/>
    <cellStyle name="Обычный 14 6 3 2" xfId="3510" xr:uid="{00000000-0005-0000-0000-0000B60D0000}"/>
    <cellStyle name="Обычный 14 6 3 3" xfId="3511" xr:uid="{00000000-0005-0000-0000-0000B70D0000}"/>
    <cellStyle name="Обычный 14 6 4" xfId="3512" xr:uid="{00000000-0005-0000-0000-0000B80D0000}"/>
    <cellStyle name="Обычный 14 6 4 2" xfId="3513" xr:uid="{00000000-0005-0000-0000-0000B90D0000}"/>
    <cellStyle name="Обычный 14 6 5" xfId="3514" xr:uid="{00000000-0005-0000-0000-0000BA0D0000}"/>
    <cellStyle name="Обычный 14 6 6" xfId="3515" xr:uid="{00000000-0005-0000-0000-0000BB0D0000}"/>
    <cellStyle name="Обычный 14 7" xfId="3516" xr:uid="{00000000-0005-0000-0000-0000BC0D0000}"/>
    <cellStyle name="Обычный 14 7 2" xfId="3517" xr:uid="{00000000-0005-0000-0000-0000BD0D0000}"/>
    <cellStyle name="Обычный 14 7 2 2" xfId="3518" xr:uid="{00000000-0005-0000-0000-0000BE0D0000}"/>
    <cellStyle name="Обычный 14 7 2 2 2" xfId="3519" xr:uid="{00000000-0005-0000-0000-0000BF0D0000}"/>
    <cellStyle name="Обычный 14 7 2 2 3" xfId="3520" xr:uid="{00000000-0005-0000-0000-0000C00D0000}"/>
    <cellStyle name="Обычный 14 7 2 3" xfId="3521" xr:uid="{00000000-0005-0000-0000-0000C10D0000}"/>
    <cellStyle name="Обычный 14 7 2 3 2" xfId="3522" xr:uid="{00000000-0005-0000-0000-0000C20D0000}"/>
    <cellStyle name="Обычный 14 7 2 4" xfId="3523" xr:uid="{00000000-0005-0000-0000-0000C30D0000}"/>
    <cellStyle name="Обычный 14 7 2 5" xfId="3524" xr:uid="{00000000-0005-0000-0000-0000C40D0000}"/>
    <cellStyle name="Обычный 14 7 3" xfId="3525" xr:uid="{00000000-0005-0000-0000-0000C50D0000}"/>
    <cellStyle name="Обычный 14 7 3 2" xfId="3526" xr:uid="{00000000-0005-0000-0000-0000C60D0000}"/>
    <cellStyle name="Обычный 14 7 3 3" xfId="3527" xr:uid="{00000000-0005-0000-0000-0000C70D0000}"/>
    <cellStyle name="Обычный 14 7 4" xfId="3528" xr:uid="{00000000-0005-0000-0000-0000C80D0000}"/>
    <cellStyle name="Обычный 14 7 4 2" xfId="3529" xr:uid="{00000000-0005-0000-0000-0000C90D0000}"/>
    <cellStyle name="Обычный 14 7 5" xfId="3530" xr:uid="{00000000-0005-0000-0000-0000CA0D0000}"/>
    <cellStyle name="Обычный 14 7 6" xfId="3531" xr:uid="{00000000-0005-0000-0000-0000CB0D0000}"/>
    <cellStyle name="Обычный 14 8" xfId="3532" xr:uid="{00000000-0005-0000-0000-0000CC0D0000}"/>
    <cellStyle name="Обычный 14 8 2" xfId="3533" xr:uid="{00000000-0005-0000-0000-0000CD0D0000}"/>
    <cellStyle name="Обычный 14 8 2 2" xfId="3534" xr:uid="{00000000-0005-0000-0000-0000CE0D0000}"/>
    <cellStyle name="Обычный 14 8 2 3" xfId="3535" xr:uid="{00000000-0005-0000-0000-0000CF0D0000}"/>
    <cellStyle name="Обычный 14 8 3" xfId="3536" xr:uid="{00000000-0005-0000-0000-0000D00D0000}"/>
    <cellStyle name="Обычный 14 8 3 2" xfId="3537" xr:uid="{00000000-0005-0000-0000-0000D10D0000}"/>
    <cellStyle name="Обычный 14 8 4" xfId="3538" xr:uid="{00000000-0005-0000-0000-0000D20D0000}"/>
    <cellStyle name="Обычный 14 8 5" xfId="3539" xr:uid="{00000000-0005-0000-0000-0000D30D0000}"/>
    <cellStyle name="Обычный 14 9" xfId="3540" xr:uid="{00000000-0005-0000-0000-0000D40D0000}"/>
    <cellStyle name="Обычный 14 9 2" xfId="3541" xr:uid="{00000000-0005-0000-0000-0000D50D0000}"/>
    <cellStyle name="Обычный 14 9 2 2" xfId="3542" xr:uid="{00000000-0005-0000-0000-0000D60D0000}"/>
    <cellStyle name="Обычный 14 9 2 3" xfId="3543" xr:uid="{00000000-0005-0000-0000-0000D70D0000}"/>
    <cellStyle name="Обычный 14 9 3" xfId="3544" xr:uid="{00000000-0005-0000-0000-0000D80D0000}"/>
    <cellStyle name="Обычный 14 9 3 2" xfId="3545" xr:uid="{00000000-0005-0000-0000-0000D90D0000}"/>
    <cellStyle name="Обычный 14 9 4" xfId="3546" xr:uid="{00000000-0005-0000-0000-0000DA0D0000}"/>
    <cellStyle name="Обычный 14 9 5" xfId="3547" xr:uid="{00000000-0005-0000-0000-0000DB0D0000}"/>
    <cellStyle name="Обычный 140" xfId="3548" xr:uid="{00000000-0005-0000-0000-0000DC0D0000}"/>
    <cellStyle name="Обычный 141" xfId="3549" xr:uid="{00000000-0005-0000-0000-0000DD0D0000}"/>
    <cellStyle name="Обычный 142" xfId="3550" xr:uid="{00000000-0005-0000-0000-0000DE0D0000}"/>
    <cellStyle name="Обычный 143" xfId="3551" xr:uid="{00000000-0005-0000-0000-0000DF0D0000}"/>
    <cellStyle name="Обычный 144" xfId="3552" xr:uid="{00000000-0005-0000-0000-0000E00D0000}"/>
    <cellStyle name="Обычный 145" xfId="3553" xr:uid="{00000000-0005-0000-0000-0000E10D0000}"/>
    <cellStyle name="Обычный 146" xfId="3554" xr:uid="{00000000-0005-0000-0000-0000E20D0000}"/>
    <cellStyle name="Обычный 148" xfId="3555" xr:uid="{00000000-0005-0000-0000-0000E30D0000}"/>
    <cellStyle name="Обычный 149" xfId="3556" xr:uid="{00000000-0005-0000-0000-0000E40D0000}"/>
    <cellStyle name="Обычный 15" xfId="3557" xr:uid="{00000000-0005-0000-0000-0000E50D0000}"/>
    <cellStyle name="Обычный 15 2" xfId="3558" xr:uid="{00000000-0005-0000-0000-0000E60D0000}"/>
    <cellStyle name="Обычный 15 2 2" xfId="3559" xr:uid="{00000000-0005-0000-0000-0000E70D0000}"/>
    <cellStyle name="Обычный 15 3" xfId="3560" xr:uid="{00000000-0005-0000-0000-0000E80D0000}"/>
    <cellStyle name="Обычный 15 4" xfId="3561" xr:uid="{00000000-0005-0000-0000-0000E90D0000}"/>
    <cellStyle name="Обычный 151" xfId="3562" xr:uid="{00000000-0005-0000-0000-0000EA0D0000}"/>
    <cellStyle name="Обычный 152" xfId="3563" xr:uid="{00000000-0005-0000-0000-0000EB0D0000}"/>
    <cellStyle name="Обычный 154" xfId="3564" xr:uid="{00000000-0005-0000-0000-0000EC0D0000}"/>
    <cellStyle name="Обычный 155" xfId="3565" xr:uid="{00000000-0005-0000-0000-0000ED0D0000}"/>
    <cellStyle name="Обычный 156" xfId="3566" xr:uid="{00000000-0005-0000-0000-0000EE0D0000}"/>
    <cellStyle name="Обычный 157" xfId="3567" xr:uid="{00000000-0005-0000-0000-0000EF0D0000}"/>
    <cellStyle name="Обычный 158" xfId="3568" xr:uid="{00000000-0005-0000-0000-0000F00D0000}"/>
    <cellStyle name="Обычный 16" xfId="3569" xr:uid="{00000000-0005-0000-0000-0000F10D0000}"/>
    <cellStyle name="Обычный 16 2" xfId="3570" xr:uid="{00000000-0005-0000-0000-0000F20D0000}"/>
    <cellStyle name="Обычный 16 2 2" xfId="3571" xr:uid="{00000000-0005-0000-0000-0000F30D0000}"/>
    <cellStyle name="Обычный 16 2 3" xfId="3572" xr:uid="{00000000-0005-0000-0000-0000F40D0000}"/>
    <cellStyle name="Обычный 16 3" xfId="3573" xr:uid="{00000000-0005-0000-0000-0000F50D0000}"/>
    <cellStyle name="Обычный 16 3 2" xfId="3574" xr:uid="{00000000-0005-0000-0000-0000F60D0000}"/>
    <cellStyle name="Обычный 16 3 3" xfId="3575" xr:uid="{00000000-0005-0000-0000-0000F70D0000}"/>
    <cellStyle name="Обычный 16 3 3 2" xfId="3576" xr:uid="{00000000-0005-0000-0000-0000F80D0000}"/>
    <cellStyle name="Обычный 16 3 3 2 2" xfId="3577" xr:uid="{00000000-0005-0000-0000-0000F90D0000}"/>
    <cellStyle name="Обычный 16 3 3 3" xfId="3578" xr:uid="{00000000-0005-0000-0000-0000FA0D0000}"/>
    <cellStyle name="Обычный 16 3 3 4" xfId="3579" xr:uid="{00000000-0005-0000-0000-0000FB0D0000}"/>
    <cellStyle name="Обычный 16 4" xfId="3580" xr:uid="{00000000-0005-0000-0000-0000FC0D0000}"/>
    <cellStyle name="Обычный 16 4 2" xfId="3581" xr:uid="{00000000-0005-0000-0000-0000FD0D0000}"/>
    <cellStyle name="Обычный 16 4 3" xfId="3582" xr:uid="{00000000-0005-0000-0000-0000FE0D0000}"/>
    <cellStyle name="Обычный 16 5" xfId="3583" xr:uid="{00000000-0005-0000-0000-0000FF0D0000}"/>
    <cellStyle name="Обычный 161" xfId="3584" xr:uid="{00000000-0005-0000-0000-0000000E0000}"/>
    <cellStyle name="Обычный 162" xfId="3585" xr:uid="{00000000-0005-0000-0000-0000010E0000}"/>
    <cellStyle name="Обычный 163" xfId="3586" xr:uid="{00000000-0005-0000-0000-0000020E0000}"/>
    <cellStyle name="Обычный 164" xfId="3587" xr:uid="{00000000-0005-0000-0000-0000030E0000}"/>
    <cellStyle name="Обычный 165" xfId="3588" xr:uid="{00000000-0005-0000-0000-0000040E0000}"/>
    <cellStyle name="Обычный 166" xfId="3589" xr:uid="{00000000-0005-0000-0000-0000050E0000}"/>
    <cellStyle name="Обычный 167" xfId="3590" xr:uid="{00000000-0005-0000-0000-0000060E0000}"/>
    <cellStyle name="Обычный 168" xfId="3591" xr:uid="{00000000-0005-0000-0000-0000070E0000}"/>
    <cellStyle name="Обычный 169" xfId="3592" xr:uid="{00000000-0005-0000-0000-0000080E0000}"/>
    <cellStyle name="Обычный 17" xfId="3593" xr:uid="{00000000-0005-0000-0000-0000090E0000}"/>
    <cellStyle name="Обычный 17 2" xfId="3594" xr:uid="{00000000-0005-0000-0000-00000A0E0000}"/>
    <cellStyle name="Обычный 17 2 2" xfId="3595" xr:uid="{00000000-0005-0000-0000-00000B0E0000}"/>
    <cellStyle name="Обычный 17 2 2 2" xfId="3596" xr:uid="{00000000-0005-0000-0000-00000C0E0000}"/>
    <cellStyle name="Обычный 17 2 2 3" xfId="3597" xr:uid="{00000000-0005-0000-0000-00000D0E0000}"/>
    <cellStyle name="Обычный 17 2 3" xfId="3598" xr:uid="{00000000-0005-0000-0000-00000E0E0000}"/>
    <cellStyle name="Обычный 17 2 3 2" xfId="3599" xr:uid="{00000000-0005-0000-0000-00000F0E0000}"/>
    <cellStyle name="Обычный 17 2 4" xfId="3600" xr:uid="{00000000-0005-0000-0000-0000100E0000}"/>
    <cellStyle name="Обычный 17 2 5" xfId="3601" xr:uid="{00000000-0005-0000-0000-0000110E0000}"/>
    <cellStyle name="Обычный 17 2 6" xfId="3602" xr:uid="{00000000-0005-0000-0000-0000120E0000}"/>
    <cellStyle name="Обычный 17 3" xfId="3603" xr:uid="{00000000-0005-0000-0000-0000130E0000}"/>
    <cellStyle name="Обычный 17 3 2" xfId="3604" xr:uid="{00000000-0005-0000-0000-0000140E0000}"/>
    <cellStyle name="Обычный 17 4" xfId="3605" xr:uid="{00000000-0005-0000-0000-0000150E0000}"/>
    <cellStyle name="Обычный 17 4 2" xfId="3606" xr:uid="{00000000-0005-0000-0000-0000160E0000}"/>
    <cellStyle name="Обычный 17 4 3" xfId="3607" xr:uid="{00000000-0005-0000-0000-0000170E0000}"/>
    <cellStyle name="Обычный 17 4 4" xfId="3608" xr:uid="{00000000-0005-0000-0000-0000180E0000}"/>
    <cellStyle name="Обычный 17 5" xfId="3609" xr:uid="{00000000-0005-0000-0000-0000190E0000}"/>
    <cellStyle name="Обычный 17 5 2" xfId="3610" xr:uid="{00000000-0005-0000-0000-00001A0E0000}"/>
    <cellStyle name="Обычный 17 5 2 2" xfId="3611" xr:uid="{00000000-0005-0000-0000-00001B0E0000}"/>
    <cellStyle name="Обычный 17 5 2 2 2" xfId="3612" xr:uid="{00000000-0005-0000-0000-00001C0E0000}"/>
    <cellStyle name="Обычный 17 5 2 3" xfId="3613" xr:uid="{00000000-0005-0000-0000-00001D0E0000}"/>
    <cellStyle name="Обычный 17 5 2 4" xfId="3614" xr:uid="{00000000-0005-0000-0000-00001E0E0000}"/>
    <cellStyle name="Обычный 17 5 3" xfId="3615" xr:uid="{00000000-0005-0000-0000-00001F0E0000}"/>
    <cellStyle name="Обычный 17 6" xfId="3616" xr:uid="{00000000-0005-0000-0000-0000200E0000}"/>
    <cellStyle name="Обычный 17 7" xfId="3617" xr:uid="{00000000-0005-0000-0000-0000210E0000}"/>
    <cellStyle name="Обычный 17 8" xfId="3618" xr:uid="{00000000-0005-0000-0000-0000220E0000}"/>
    <cellStyle name="Обычный 170" xfId="3619" xr:uid="{00000000-0005-0000-0000-0000230E0000}"/>
    <cellStyle name="Обычный 171" xfId="3620" xr:uid="{00000000-0005-0000-0000-0000240E0000}"/>
    <cellStyle name="Обычный 172" xfId="3621" xr:uid="{00000000-0005-0000-0000-0000250E0000}"/>
    <cellStyle name="Обычный 173" xfId="3622" xr:uid="{00000000-0005-0000-0000-0000260E0000}"/>
    <cellStyle name="Обычный 176" xfId="3623" xr:uid="{00000000-0005-0000-0000-0000270E0000}"/>
    <cellStyle name="Обычный 176 2" xfId="3624" xr:uid="{00000000-0005-0000-0000-0000280E0000}"/>
    <cellStyle name="Обычный 176 2 2" xfId="3625" xr:uid="{00000000-0005-0000-0000-0000290E0000}"/>
    <cellStyle name="Обычный 176 3" xfId="3626" xr:uid="{00000000-0005-0000-0000-00002A0E0000}"/>
    <cellStyle name="Обычный 176 4" xfId="3627" xr:uid="{00000000-0005-0000-0000-00002B0E0000}"/>
    <cellStyle name="Обычный 177" xfId="3628" xr:uid="{00000000-0005-0000-0000-00002C0E0000}"/>
    <cellStyle name="Обычный 178" xfId="3629" xr:uid="{00000000-0005-0000-0000-00002D0E0000}"/>
    <cellStyle name="Обычный 179" xfId="3630" xr:uid="{00000000-0005-0000-0000-00002E0E0000}"/>
    <cellStyle name="Обычный 18" xfId="3631" xr:uid="{00000000-0005-0000-0000-00002F0E0000}"/>
    <cellStyle name="Обычный 18 2" xfId="3632" xr:uid="{00000000-0005-0000-0000-0000300E0000}"/>
    <cellStyle name="Обычный 18 2 2" xfId="3633" xr:uid="{00000000-0005-0000-0000-0000310E0000}"/>
    <cellStyle name="Обычный 18 2 2 2" xfId="3634" xr:uid="{00000000-0005-0000-0000-0000320E0000}"/>
    <cellStyle name="Обычный 18 2 2 2 2" xfId="3635" xr:uid="{00000000-0005-0000-0000-0000330E0000}"/>
    <cellStyle name="Обычный 18 2 2 2 3" xfId="3636" xr:uid="{00000000-0005-0000-0000-0000340E0000}"/>
    <cellStyle name="Обычный 18 2 2 2 4" xfId="3637" xr:uid="{00000000-0005-0000-0000-0000350E0000}"/>
    <cellStyle name="Обычный 18 2 2 3" xfId="3638" xr:uid="{00000000-0005-0000-0000-0000360E0000}"/>
    <cellStyle name="Обычный 18 2 2 4" xfId="3639" xr:uid="{00000000-0005-0000-0000-0000370E0000}"/>
    <cellStyle name="Обычный 18 2 2 5" xfId="3640" xr:uid="{00000000-0005-0000-0000-0000380E0000}"/>
    <cellStyle name="Обычный 18 2 3" xfId="3641" xr:uid="{00000000-0005-0000-0000-0000390E0000}"/>
    <cellStyle name="Обычный 18 2 3 2" xfId="3642" xr:uid="{00000000-0005-0000-0000-00003A0E0000}"/>
    <cellStyle name="Обычный 18 2 3 3" xfId="3643" xr:uid="{00000000-0005-0000-0000-00003B0E0000}"/>
    <cellStyle name="Обычный 18 2 3 4" xfId="3644" xr:uid="{00000000-0005-0000-0000-00003C0E0000}"/>
    <cellStyle name="Обычный 18 2 4" xfId="3645" xr:uid="{00000000-0005-0000-0000-00003D0E0000}"/>
    <cellStyle name="Обычный 18 2 5" xfId="3646" xr:uid="{00000000-0005-0000-0000-00003E0E0000}"/>
    <cellStyle name="Обычный 18 2 6" xfId="3647" xr:uid="{00000000-0005-0000-0000-00003F0E0000}"/>
    <cellStyle name="Обычный 18 2 7" xfId="3648" xr:uid="{00000000-0005-0000-0000-0000400E0000}"/>
    <cellStyle name="Обычный 18 3" xfId="3649" xr:uid="{00000000-0005-0000-0000-0000410E0000}"/>
    <cellStyle name="Обычный 18 3 2" xfId="3650" xr:uid="{00000000-0005-0000-0000-0000420E0000}"/>
    <cellStyle name="Обычный 18 3 2 2" xfId="3651" xr:uid="{00000000-0005-0000-0000-0000430E0000}"/>
    <cellStyle name="Обычный 18 3 2 3" xfId="3652" xr:uid="{00000000-0005-0000-0000-0000440E0000}"/>
    <cellStyle name="Обычный 18 3 2 4" xfId="3653" xr:uid="{00000000-0005-0000-0000-0000450E0000}"/>
    <cellStyle name="Обычный 18 3 3" xfId="3654" xr:uid="{00000000-0005-0000-0000-0000460E0000}"/>
    <cellStyle name="Обычный 18 3 4" xfId="3655" xr:uid="{00000000-0005-0000-0000-0000470E0000}"/>
    <cellStyle name="Обычный 18 3 5" xfId="3656" xr:uid="{00000000-0005-0000-0000-0000480E0000}"/>
    <cellStyle name="Обычный 18 4" xfId="3657" xr:uid="{00000000-0005-0000-0000-0000490E0000}"/>
    <cellStyle name="Обычный 18 4 2" xfId="3658" xr:uid="{00000000-0005-0000-0000-00004A0E0000}"/>
    <cellStyle name="Обычный 18 4 3" xfId="3659" xr:uid="{00000000-0005-0000-0000-00004B0E0000}"/>
    <cellStyle name="Обычный 18 4 4" xfId="3660" xr:uid="{00000000-0005-0000-0000-00004C0E0000}"/>
    <cellStyle name="Обычный 18 5" xfId="3661" xr:uid="{00000000-0005-0000-0000-00004D0E0000}"/>
    <cellStyle name="Обычный 18 6" xfId="3662" xr:uid="{00000000-0005-0000-0000-00004E0E0000}"/>
    <cellStyle name="Обычный 18 7" xfId="3663" xr:uid="{00000000-0005-0000-0000-00004F0E0000}"/>
    <cellStyle name="Обычный 18 8" xfId="3664" xr:uid="{00000000-0005-0000-0000-0000500E0000}"/>
    <cellStyle name="Обычный 180" xfId="3665" xr:uid="{00000000-0005-0000-0000-0000510E0000}"/>
    <cellStyle name="Обычный 181" xfId="3666" xr:uid="{00000000-0005-0000-0000-0000520E0000}"/>
    <cellStyle name="Обычный 182" xfId="3667" xr:uid="{00000000-0005-0000-0000-0000530E0000}"/>
    <cellStyle name="Обычный 183" xfId="3668" xr:uid="{00000000-0005-0000-0000-0000540E0000}"/>
    <cellStyle name="Обычный 184" xfId="3669" xr:uid="{00000000-0005-0000-0000-0000550E0000}"/>
    <cellStyle name="Обычный 185" xfId="3670" xr:uid="{00000000-0005-0000-0000-0000560E0000}"/>
    <cellStyle name="Обычный 186" xfId="3671" xr:uid="{00000000-0005-0000-0000-0000570E0000}"/>
    <cellStyle name="Обычный 187" xfId="3672" xr:uid="{00000000-0005-0000-0000-0000580E0000}"/>
    <cellStyle name="Обычный 189" xfId="3673" xr:uid="{00000000-0005-0000-0000-0000590E0000}"/>
    <cellStyle name="Обычный 19" xfId="3674" xr:uid="{00000000-0005-0000-0000-00005A0E0000}"/>
    <cellStyle name="Обычный 19 2" xfId="3675" xr:uid="{00000000-0005-0000-0000-00005B0E0000}"/>
    <cellStyle name="Обычный 19 2 2" xfId="3676" xr:uid="{00000000-0005-0000-0000-00005C0E0000}"/>
    <cellStyle name="Обычный 19 2 3" xfId="3677" xr:uid="{00000000-0005-0000-0000-00005D0E0000}"/>
    <cellStyle name="Обычный 19 2 3 2" xfId="3678" xr:uid="{00000000-0005-0000-0000-00005E0E0000}"/>
    <cellStyle name="Обычный 19 2 3 3" xfId="3679" xr:uid="{00000000-0005-0000-0000-00005F0E0000}"/>
    <cellStyle name="Обычный 19 2 4" xfId="3680" xr:uid="{00000000-0005-0000-0000-0000600E0000}"/>
    <cellStyle name="Обычный 19 2 4 2" xfId="3681" xr:uid="{00000000-0005-0000-0000-0000610E0000}"/>
    <cellStyle name="Обычный 19 2 5" xfId="3682" xr:uid="{00000000-0005-0000-0000-0000620E0000}"/>
    <cellStyle name="Обычный 19 2 6" xfId="3683" xr:uid="{00000000-0005-0000-0000-0000630E0000}"/>
    <cellStyle name="Обычный 19 3" xfId="3684" xr:uid="{00000000-0005-0000-0000-0000640E0000}"/>
    <cellStyle name="Обычный 19 4" xfId="3685" xr:uid="{00000000-0005-0000-0000-0000650E0000}"/>
    <cellStyle name="Обычный 19 4 2" xfId="3686" xr:uid="{00000000-0005-0000-0000-0000660E0000}"/>
    <cellStyle name="Обычный 19 4 3" xfId="3687" xr:uid="{00000000-0005-0000-0000-0000670E0000}"/>
    <cellStyle name="Обычный 19 5" xfId="3688" xr:uid="{00000000-0005-0000-0000-0000680E0000}"/>
    <cellStyle name="Обычный 19 5 2" xfId="3689" xr:uid="{00000000-0005-0000-0000-0000690E0000}"/>
    <cellStyle name="Обычный 19 6" xfId="3690" xr:uid="{00000000-0005-0000-0000-00006A0E0000}"/>
    <cellStyle name="Обычный 19 7" xfId="3691" xr:uid="{00000000-0005-0000-0000-00006B0E0000}"/>
    <cellStyle name="Обычный 19 8" xfId="3692" xr:uid="{00000000-0005-0000-0000-00006C0E0000}"/>
    <cellStyle name="Обычный 19 9" xfId="3693" xr:uid="{00000000-0005-0000-0000-00006D0E0000}"/>
    <cellStyle name="Обычный 190" xfId="3694" xr:uid="{00000000-0005-0000-0000-00006E0E0000}"/>
    <cellStyle name="Обычный 191" xfId="3695" xr:uid="{00000000-0005-0000-0000-00006F0E0000}"/>
    <cellStyle name="Обычный 192" xfId="3696" xr:uid="{00000000-0005-0000-0000-0000700E0000}"/>
    <cellStyle name="Обычный 193" xfId="3697" xr:uid="{00000000-0005-0000-0000-0000710E0000}"/>
    <cellStyle name="Обычный 194" xfId="3698" xr:uid="{00000000-0005-0000-0000-0000720E0000}"/>
    <cellStyle name="Обычный 195" xfId="3699" xr:uid="{00000000-0005-0000-0000-0000730E0000}"/>
    <cellStyle name="Обычный 196" xfId="3700" xr:uid="{00000000-0005-0000-0000-0000740E0000}"/>
    <cellStyle name="Обычный 197" xfId="3701" xr:uid="{00000000-0005-0000-0000-0000750E0000}"/>
    <cellStyle name="Обычный 198" xfId="3702" xr:uid="{00000000-0005-0000-0000-0000760E0000}"/>
    <cellStyle name="Обычный 199" xfId="3703" xr:uid="{00000000-0005-0000-0000-0000770E0000}"/>
    <cellStyle name="Обычный 2" xfId="3704" xr:uid="{00000000-0005-0000-0000-0000780E0000}"/>
    <cellStyle name="Обычный 2 10" xfId="3705" xr:uid="{00000000-0005-0000-0000-0000790E0000}"/>
    <cellStyle name="Обычный 2 10 10" xfId="3706" xr:uid="{00000000-0005-0000-0000-00007A0E0000}"/>
    <cellStyle name="Обычный 2 10 10 2" xfId="3707" xr:uid="{00000000-0005-0000-0000-00007B0E0000}"/>
    <cellStyle name="Обычный 2 10 10 2 2" xfId="3708" xr:uid="{00000000-0005-0000-0000-00007C0E0000}"/>
    <cellStyle name="Обычный 2 10 10 2 3" xfId="3709" xr:uid="{00000000-0005-0000-0000-00007D0E0000}"/>
    <cellStyle name="Обычный 2 10 10 3" xfId="3710" xr:uid="{00000000-0005-0000-0000-00007E0E0000}"/>
    <cellStyle name="Обычный 2 10 10 3 2" xfId="3711" xr:uid="{00000000-0005-0000-0000-00007F0E0000}"/>
    <cellStyle name="Обычный 2 10 10 4" xfId="3712" xr:uid="{00000000-0005-0000-0000-0000800E0000}"/>
    <cellStyle name="Обычный 2 10 10 5" xfId="3713" xr:uid="{00000000-0005-0000-0000-0000810E0000}"/>
    <cellStyle name="Обычный 2 10 11" xfId="3714" xr:uid="{00000000-0005-0000-0000-0000820E0000}"/>
    <cellStyle name="Обычный 2 10 11 2" xfId="3715" xr:uid="{00000000-0005-0000-0000-0000830E0000}"/>
    <cellStyle name="Обычный 2 10 11 2 2" xfId="3716" xr:uid="{00000000-0005-0000-0000-0000840E0000}"/>
    <cellStyle name="Обычный 2 10 11 2 3" xfId="3717" xr:uid="{00000000-0005-0000-0000-0000850E0000}"/>
    <cellStyle name="Обычный 2 10 11 3" xfId="3718" xr:uid="{00000000-0005-0000-0000-0000860E0000}"/>
    <cellStyle name="Обычный 2 10 11 3 2" xfId="3719" xr:uid="{00000000-0005-0000-0000-0000870E0000}"/>
    <cellStyle name="Обычный 2 10 11 4" xfId="3720" xr:uid="{00000000-0005-0000-0000-0000880E0000}"/>
    <cellStyle name="Обычный 2 10 11 5" xfId="3721" xr:uid="{00000000-0005-0000-0000-0000890E0000}"/>
    <cellStyle name="Обычный 2 10 12" xfId="3722" xr:uid="{00000000-0005-0000-0000-00008A0E0000}"/>
    <cellStyle name="Обычный 2 10 12 2" xfId="3723" xr:uid="{00000000-0005-0000-0000-00008B0E0000}"/>
    <cellStyle name="Обычный 2 10 12 2 2" xfId="3724" xr:uid="{00000000-0005-0000-0000-00008C0E0000}"/>
    <cellStyle name="Обычный 2 10 12 2 3" xfId="3725" xr:uid="{00000000-0005-0000-0000-00008D0E0000}"/>
    <cellStyle name="Обычный 2 10 12 3" xfId="3726" xr:uid="{00000000-0005-0000-0000-00008E0E0000}"/>
    <cellStyle name="Обычный 2 10 12 3 2" xfId="3727" xr:uid="{00000000-0005-0000-0000-00008F0E0000}"/>
    <cellStyle name="Обычный 2 10 12 4" xfId="3728" xr:uid="{00000000-0005-0000-0000-0000900E0000}"/>
    <cellStyle name="Обычный 2 10 12 5" xfId="3729" xr:uid="{00000000-0005-0000-0000-0000910E0000}"/>
    <cellStyle name="Обычный 2 10 13" xfId="3730" xr:uid="{00000000-0005-0000-0000-0000920E0000}"/>
    <cellStyle name="Обычный 2 10 13 2" xfId="3731" xr:uid="{00000000-0005-0000-0000-0000930E0000}"/>
    <cellStyle name="Обычный 2 10 13 2 2" xfId="3732" xr:uid="{00000000-0005-0000-0000-0000940E0000}"/>
    <cellStyle name="Обычный 2 10 13 2 3" xfId="3733" xr:uid="{00000000-0005-0000-0000-0000950E0000}"/>
    <cellStyle name="Обычный 2 10 13 3" xfId="3734" xr:uid="{00000000-0005-0000-0000-0000960E0000}"/>
    <cellStyle name="Обычный 2 10 13 3 2" xfId="3735" xr:uid="{00000000-0005-0000-0000-0000970E0000}"/>
    <cellStyle name="Обычный 2 10 13 4" xfId="3736" xr:uid="{00000000-0005-0000-0000-0000980E0000}"/>
    <cellStyle name="Обычный 2 10 13 5" xfId="3737" xr:uid="{00000000-0005-0000-0000-0000990E0000}"/>
    <cellStyle name="Обычный 2 10 14" xfId="3738" xr:uid="{00000000-0005-0000-0000-00009A0E0000}"/>
    <cellStyle name="Обычный 2 10 14 2" xfId="3739" xr:uid="{00000000-0005-0000-0000-00009B0E0000}"/>
    <cellStyle name="Обычный 2 10 14 3" xfId="3740" xr:uid="{00000000-0005-0000-0000-00009C0E0000}"/>
    <cellStyle name="Обычный 2 10 15" xfId="3741" xr:uid="{00000000-0005-0000-0000-00009D0E0000}"/>
    <cellStyle name="Обычный 2 10 15 2" xfId="3742" xr:uid="{00000000-0005-0000-0000-00009E0E0000}"/>
    <cellStyle name="Обычный 2 10 16" xfId="3743" xr:uid="{00000000-0005-0000-0000-00009F0E0000}"/>
    <cellStyle name="Обычный 2 10 17" xfId="3744" xr:uid="{00000000-0005-0000-0000-0000A00E0000}"/>
    <cellStyle name="Обычный 2 10 2" xfId="3745" xr:uid="{00000000-0005-0000-0000-0000A10E0000}"/>
    <cellStyle name="Обычный 2 10 2 2" xfId="3746" xr:uid="{00000000-0005-0000-0000-0000A20E0000}"/>
    <cellStyle name="Обычный 2 10 2 2 2" xfId="3747" xr:uid="{00000000-0005-0000-0000-0000A30E0000}"/>
    <cellStyle name="Обычный 2 10 2 2 2 2" xfId="3748" xr:uid="{00000000-0005-0000-0000-0000A40E0000}"/>
    <cellStyle name="Обычный 2 10 2 2 2 3" xfId="3749" xr:uid="{00000000-0005-0000-0000-0000A50E0000}"/>
    <cellStyle name="Обычный 2 10 2 2 3" xfId="3750" xr:uid="{00000000-0005-0000-0000-0000A60E0000}"/>
    <cellStyle name="Обычный 2 10 2 2 3 2" xfId="3751" xr:uid="{00000000-0005-0000-0000-0000A70E0000}"/>
    <cellStyle name="Обычный 2 10 2 2 4" xfId="3752" xr:uid="{00000000-0005-0000-0000-0000A80E0000}"/>
    <cellStyle name="Обычный 2 10 2 2 5" xfId="3753" xr:uid="{00000000-0005-0000-0000-0000A90E0000}"/>
    <cellStyle name="Обычный 2 10 2 3" xfId="3754" xr:uid="{00000000-0005-0000-0000-0000AA0E0000}"/>
    <cellStyle name="Обычный 2 10 2 4" xfId="3755" xr:uid="{00000000-0005-0000-0000-0000AB0E0000}"/>
    <cellStyle name="Обычный 2 10 2 4 2" xfId="3756" xr:uid="{00000000-0005-0000-0000-0000AC0E0000}"/>
    <cellStyle name="Обычный 2 10 2 4 3" xfId="3757" xr:uid="{00000000-0005-0000-0000-0000AD0E0000}"/>
    <cellStyle name="Обычный 2 10 2 5" xfId="3758" xr:uid="{00000000-0005-0000-0000-0000AE0E0000}"/>
    <cellStyle name="Обычный 2 10 2 5 2" xfId="3759" xr:uid="{00000000-0005-0000-0000-0000AF0E0000}"/>
    <cellStyle name="Обычный 2 10 2 6" xfId="3760" xr:uid="{00000000-0005-0000-0000-0000B00E0000}"/>
    <cellStyle name="Обычный 2 10 2 7" xfId="3761" xr:uid="{00000000-0005-0000-0000-0000B10E0000}"/>
    <cellStyle name="Обычный 2 10 3" xfId="3762" xr:uid="{00000000-0005-0000-0000-0000B20E0000}"/>
    <cellStyle name="Обычный 2 10 3 2" xfId="3763" xr:uid="{00000000-0005-0000-0000-0000B30E0000}"/>
    <cellStyle name="Обычный 2 10 3 2 2" xfId="3764" xr:uid="{00000000-0005-0000-0000-0000B40E0000}"/>
    <cellStyle name="Обычный 2 10 3 2 2 2" xfId="3765" xr:uid="{00000000-0005-0000-0000-0000B50E0000}"/>
    <cellStyle name="Обычный 2 10 3 2 2 3" xfId="3766" xr:uid="{00000000-0005-0000-0000-0000B60E0000}"/>
    <cellStyle name="Обычный 2 10 3 2 3" xfId="3767" xr:uid="{00000000-0005-0000-0000-0000B70E0000}"/>
    <cellStyle name="Обычный 2 10 3 2 3 2" xfId="3768" xr:uid="{00000000-0005-0000-0000-0000B80E0000}"/>
    <cellStyle name="Обычный 2 10 3 2 4" xfId="3769" xr:uid="{00000000-0005-0000-0000-0000B90E0000}"/>
    <cellStyle name="Обычный 2 10 3 2 5" xfId="3770" xr:uid="{00000000-0005-0000-0000-0000BA0E0000}"/>
    <cellStyle name="Обычный 2 10 3 3" xfId="3771" xr:uid="{00000000-0005-0000-0000-0000BB0E0000}"/>
    <cellStyle name="Обычный 2 10 3 3 2" xfId="3772" xr:uid="{00000000-0005-0000-0000-0000BC0E0000}"/>
    <cellStyle name="Обычный 2 10 3 3 3" xfId="3773" xr:uid="{00000000-0005-0000-0000-0000BD0E0000}"/>
    <cellStyle name="Обычный 2 10 3 4" xfId="3774" xr:uid="{00000000-0005-0000-0000-0000BE0E0000}"/>
    <cellStyle name="Обычный 2 10 3 4 2" xfId="3775" xr:uid="{00000000-0005-0000-0000-0000BF0E0000}"/>
    <cellStyle name="Обычный 2 10 3 5" xfId="3776" xr:uid="{00000000-0005-0000-0000-0000C00E0000}"/>
    <cellStyle name="Обычный 2 10 3 6" xfId="3777" xr:uid="{00000000-0005-0000-0000-0000C10E0000}"/>
    <cellStyle name="Обычный 2 10 4" xfId="3778" xr:uid="{00000000-0005-0000-0000-0000C20E0000}"/>
    <cellStyle name="Обычный 2 10 4 2" xfId="3779" xr:uid="{00000000-0005-0000-0000-0000C30E0000}"/>
    <cellStyle name="Обычный 2 10 4 2 2" xfId="3780" xr:uid="{00000000-0005-0000-0000-0000C40E0000}"/>
    <cellStyle name="Обычный 2 10 4 2 2 2" xfId="3781" xr:uid="{00000000-0005-0000-0000-0000C50E0000}"/>
    <cellStyle name="Обычный 2 10 4 2 2 3" xfId="3782" xr:uid="{00000000-0005-0000-0000-0000C60E0000}"/>
    <cellStyle name="Обычный 2 10 4 2 3" xfId="3783" xr:uid="{00000000-0005-0000-0000-0000C70E0000}"/>
    <cellStyle name="Обычный 2 10 4 2 3 2" xfId="3784" xr:uid="{00000000-0005-0000-0000-0000C80E0000}"/>
    <cellStyle name="Обычный 2 10 4 2 4" xfId="3785" xr:uid="{00000000-0005-0000-0000-0000C90E0000}"/>
    <cellStyle name="Обычный 2 10 4 2 5" xfId="3786" xr:uid="{00000000-0005-0000-0000-0000CA0E0000}"/>
    <cellStyle name="Обычный 2 10 4 3" xfId="3787" xr:uid="{00000000-0005-0000-0000-0000CB0E0000}"/>
    <cellStyle name="Обычный 2 10 4 3 2" xfId="3788" xr:uid="{00000000-0005-0000-0000-0000CC0E0000}"/>
    <cellStyle name="Обычный 2 10 4 3 3" xfId="3789" xr:uid="{00000000-0005-0000-0000-0000CD0E0000}"/>
    <cellStyle name="Обычный 2 10 4 4" xfId="3790" xr:uid="{00000000-0005-0000-0000-0000CE0E0000}"/>
    <cellStyle name="Обычный 2 10 4 4 2" xfId="3791" xr:uid="{00000000-0005-0000-0000-0000CF0E0000}"/>
    <cellStyle name="Обычный 2 10 4 5" xfId="3792" xr:uid="{00000000-0005-0000-0000-0000D00E0000}"/>
    <cellStyle name="Обычный 2 10 4 6" xfId="3793" xr:uid="{00000000-0005-0000-0000-0000D10E0000}"/>
    <cellStyle name="Обычный 2 10 5" xfId="3794" xr:uid="{00000000-0005-0000-0000-0000D20E0000}"/>
    <cellStyle name="Обычный 2 10 5 2" xfId="3795" xr:uid="{00000000-0005-0000-0000-0000D30E0000}"/>
    <cellStyle name="Обычный 2 10 5 2 2" xfId="3796" xr:uid="{00000000-0005-0000-0000-0000D40E0000}"/>
    <cellStyle name="Обычный 2 10 5 2 2 2" xfId="3797" xr:uid="{00000000-0005-0000-0000-0000D50E0000}"/>
    <cellStyle name="Обычный 2 10 5 2 2 3" xfId="3798" xr:uid="{00000000-0005-0000-0000-0000D60E0000}"/>
    <cellStyle name="Обычный 2 10 5 2 3" xfId="3799" xr:uid="{00000000-0005-0000-0000-0000D70E0000}"/>
    <cellStyle name="Обычный 2 10 5 2 3 2" xfId="3800" xr:uid="{00000000-0005-0000-0000-0000D80E0000}"/>
    <cellStyle name="Обычный 2 10 5 2 4" xfId="3801" xr:uid="{00000000-0005-0000-0000-0000D90E0000}"/>
    <cellStyle name="Обычный 2 10 5 2 5" xfId="3802" xr:uid="{00000000-0005-0000-0000-0000DA0E0000}"/>
    <cellStyle name="Обычный 2 10 5 3" xfId="3803" xr:uid="{00000000-0005-0000-0000-0000DB0E0000}"/>
    <cellStyle name="Обычный 2 10 5 3 2" xfId="3804" xr:uid="{00000000-0005-0000-0000-0000DC0E0000}"/>
    <cellStyle name="Обычный 2 10 5 3 3" xfId="3805" xr:uid="{00000000-0005-0000-0000-0000DD0E0000}"/>
    <cellStyle name="Обычный 2 10 5 4" xfId="3806" xr:uid="{00000000-0005-0000-0000-0000DE0E0000}"/>
    <cellStyle name="Обычный 2 10 5 4 2" xfId="3807" xr:uid="{00000000-0005-0000-0000-0000DF0E0000}"/>
    <cellStyle name="Обычный 2 10 5 5" xfId="3808" xr:uid="{00000000-0005-0000-0000-0000E00E0000}"/>
    <cellStyle name="Обычный 2 10 5 6" xfId="3809" xr:uid="{00000000-0005-0000-0000-0000E10E0000}"/>
    <cellStyle name="Обычный 2 10 6" xfId="3810" xr:uid="{00000000-0005-0000-0000-0000E20E0000}"/>
    <cellStyle name="Обычный 2 10 6 2" xfId="3811" xr:uid="{00000000-0005-0000-0000-0000E30E0000}"/>
    <cellStyle name="Обычный 2 10 6 2 2" xfId="3812" xr:uid="{00000000-0005-0000-0000-0000E40E0000}"/>
    <cellStyle name="Обычный 2 10 6 2 2 2" xfId="3813" xr:uid="{00000000-0005-0000-0000-0000E50E0000}"/>
    <cellStyle name="Обычный 2 10 6 2 2 3" xfId="3814" xr:uid="{00000000-0005-0000-0000-0000E60E0000}"/>
    <cellStyle name="Обычный 2 10 6 2 3" xfId="3815" xr:uid="{00000000-0005-0000-0000-0000E70E0000}"/>
    <cellStyle name="Обычный 2 10 6 2 3 2" xfId="3816" xr:uid="{00000000-0005-0000-0000-0000E80E0000}"/>
    <cellStyle name="Обычный 2 10 6 2 4" xfId="3817" xr:uid="{00000000-0005-0000-0000-0000E90E0000}"/>
    <cellStyle name="Обычный 2 10 6 2 5" xfId="3818" xr:uid="{00000000-0005-0000-0000-0000EA0E0000}"/>
    <cellStyle name="Обычный 2 10 6 3" xfId="3819" xr:uid="{00000000-0005-0000-0000-0000EB0E0000}"/>
    <cellStyle name="Обычный 2 10 6 3 2" xfId="3820" xr:uid="{00000000-0005-0000-0000-0000EC0E0000}"/>
    <cellStyle name="Обычный 2 10 6 3 3" xfId="3821" xr:uid="{00000000-0005-0000-0000-0000ED0E0000}"/>
    <cellStyle name="Обычный 2 10 6 4" xfId="3822" xr:uid="{00000000-0005-0000-0000-0000EE0E0000}"/>
    <cellStyle name="Обычный 2 10 6 4 2" xfId="3823" xr:uid="{00000000-0005-0000-0000-0000EF0E0000}"/>
    <cellStyle name="Обычный 2 10 6 5" xfId="3824" xr:uid="{00000000-0005-0000-0000-0000F00E0000}"/>
    <cellStyle name="Обычный 2 10 6 6" xfId="3825" xr:uid="{00000000-0005-0000-0000-0000F10E0000}"/>
    <cellStyle name="Обычный 2 10 7" xfId="3826" xr:uid="{00000000-0005-0000-0000-0000F20E0000}"/>
    <cellStyle name="Обычный 2 10 7 2" xfId="3827" xr:uid="{00000000-0005-0000-0000-0000F30E0000}"/>
    <cellStyle name="Обычный 2 10 7 2 2" xfId="3828" xr:uid="{00000000-0005-0000-0000-0000F40E0000}"/>
    <cellStyle name="Обычный 2 10 7 2 2 2" xfId="3829" xr:uid="{00000000-0005-0000-0000-0000F50E0000}"/>
    <cellStyle name="Обычный 2 10 7 2 2 3" xfId="3830" xr:uid="{00000000-0005-0000-0000-0000F60E0000}"/>
    <cellStyle name="Обычный 2 10 7 2 3" xfId="3831" xr:uid="{00000000-0005-0000-0000-0000F70E0000}"/>
    <cellStyle name="Обычный 2 10 7 2 3 2" xfId="3832" xr:uid="{00000000-0005-0000-0000-0000F80E0000}"/>
    <cellStyle name="Обычный 2 10 7 2 4" xfId="3833" xr:uid="{00000000-0005-0000-0000-0000F90E0000}"/>
    <cellStyle name="Обычный 2 10 7 2 5" xfId="3834" xr:uid="{00000000-0005-0000-0000-0000FA0E0000}"/>
    <cellStyle name="Обычный 2 10 7 3" xfId="3835" xr:uid="{00000000-0005-0000-0000-0000FB0E0000}"/>
    <cellStyle name="Обычный 2 10 7 3 2" xfId="3836" xr:uid="{00000000-0005-0000-0000-0000FC0E0000}"/>
    <cellStyle name="Обычный 2 10 7 3 3" xfId="3837" xr:uid="{00000000-0005-0000-0000-0000FD0E0000}"/>
    <cellStyle name="Обычный 2 10 7 4" xfId="3838" xr:uid="{00000000-0005-0000-0000-0000FE0E0000}"/>
    <cellStyle name="Обычный 2 10 7 4 2" xfId="3839" xr:uid="{00000000-0005-0000-0000-0000FF0E0000}"/>
    <cellStyle name="Обычный 2 10 7 5" xfId="3840" xr:uid="{00000000-0005-0000-0000-0000000F0000}"/>
    <cellStyle name="Обычный 2 10 7 6" xfId="3841" xr:uid="{00000000-0005-0000-0000-0000010F0000}"/>
    <cellStyle name="Обычный 2 10 8" xfId="3842" xr:uid="{00000000-0005-0000-0000-0000020F0000}"/>
    <cellStyle name="Обычный 2 10 8 2" xfId="3843" xr:uid="{00000000-0005-0000-0000-0000030F0000}"/>
    <cellStyle name="Обычный 2 10 8 2 2" xfId="3844" xr:uid="{00000000-0005-0000-0000-0000040F0000}"/>
    <cellStyle name="Обычный 2 10 8 2 3" xfId="3845" xr:uid="{00000000-0005-0000-0000-0000050F0000}"/>
    <cellStyle name="Обычный 2 10 8 3" xfId="3846" xr:uid="{00000000-0005-0000-0000-0000060F0000}"/>
    <cellStyle name="Обычный 2 10 8 3 2" xfId="3847" xr:uid="{00000000-0005-0000-0000-0000070F0000}"/>
    <cellStyle name="Обычный 2 10 8 4" xfId="3848" xr:uid="{00000000-0005-0000-0000-0000080F0000}"/>
    <cellStyle name="Обычный 2 10 8 5" xfId="3849" xr:uid="{00000000-0005-0000-0000-0000090F0000}"/>
    <cellStyle name="Обычный 2 10 9" xfId="3850" xr:uid="{00000000-0005-0000-0000-00000A0F0000}"/>
    <cellStyle name="Обычный 2 10 9 2" xfId="3851" xr:uid="{00000000-0005-0000-0000-00000B0F0000}"/>
    <cellStyle name="Обычный 2 10 9 2 2" xfId="3852" xr:uid="{00000000-0005-0000-0000-00000C0F0000}"/>
    <cellStyle name="Обычный 2 10 9 2 3" xfId="3853" xr:uid="{00000000-0005-0000-0000-00000D0F0000}"/>
    <cellStyle name="Обычный 2 10 9 3" xfId="3854" xr:uid="{00000000-0005-0000-0000-00000E0F0000}"/>
    <cellStyle name="Обычный 2 10 9 3 2" xfId="3855" xr:uid="{00000000-0005-0000-0000-00000F0F0000}"/>
    <cellStyle name="Обычный 2 10 9 4" xfId="3856" xr:uid="{00000000-0005-0000-0000-0000100F0000}"/>
    <cellStyle name="Обычный 2 10 9 5" xfId="3857" xr:uid="{00000000-0005-0000-0000-0000110F0000}"/>
    <cellStyle name="Обычный 2 100" xfId="3858" xr:uid="{00000000-0005-0000-0000-0000120F0000}"/>
    <cellStyle name="Обычный 2 11" xfId="3859" xr:uid="{00000000-0005-0000-0000-0000130F0000}"/>
    <cellStyle name="Обычный 2 11 2" xfId="3860" xr:uid="{00000000-0005-0000-0000-0000140F0000}"/>
    <cellStyle name="Обычный 2 11 3" xfId="3861" xr:uid="{00000000-0005-0000-0000-0000150F0000}"/>
    <cellStyle name="Обычный 2 12" xfId="3862" xr:uid="{00000000-0005-0000-0000-0000160F0000}"/>
    <cellStyle name="Обычный 2 12 2" xfId="3863" xr:uid="{00000000-0005-0000-0000-0000170F0000}"/>
    <cellStyle name="Обычный 2 12 3" xfId="3864" xr:uid="{00000000-0005-0000-0000-0000180F0000}"/>
    <cellStyle name="Обычный 2 13" xfId="3865" xr:uid="{00000000-0005-0000-0000-0000190F0000}"/>
    <cellStyle name="Обычный 2 13 2" xfId="3866" xr:uid="{00000000-0005-0000-0000-00001A0F0000}"/>
    <cellStyle name="Обычный 2 13 3" xfId="3867" xr:uid="{00000000-0005-0000-0000-00001B0F0000}"/>
    <cellStyle name="Обычный 2 14" xfId="3868" xr:uid="{00000000-0005-0000-0000-00001C0F0000}"/>
    <cellStyle name="Обычный 2 14 2" xfId="3869" xr:uid="{00000000-0005-0000-0000-00001D0F0000}"/>
    <cellStyle name="Обычный 2 15" xfId="3870" xr:uid="{00000000-0005-0000-0000-00001E0F0000}"/>
    <cellStyle name="Обычный 2 15 2" xfId="3871" xr:uid="{00000000-0005-0000-0000-00001F0F0000}"/>
    <cellStyle name="Обычный 2 16" xfId="3872" xr:uid="{00000000-0005-0000-0000-0000200F0000}"/>
    <cellStyle name="Обычный 2 16 2" xfId="3873" xr:uid="{00000000-0005-0000-0000-0000210F0000}"/>
    <cellStyle name="Обычный 2 17" xfId="3874" xr:uid="{00000000-0005-0000-0000-0000220F0000}"/>
    <cellStyle name="Обычный 2 17 2" xfId="3875" xr:uid="{00000000-0005-0000-0000-0000230F0000}"/>
    <cellStyle name="Обычный 2 18" xfId="3876" xr:uid="{00000000-0005-0000-0000-0000240F0000}"/>
    <cellStyle name="Обычный 2 18 2" xfId="3877" xr:uid="{00000000-0005-0000-0000-0000250F0000}"/>
    <cellStyle name="Обычный 2 19" xfId="3878" xr:uid="{00000000-0005-0000-0000-0000260F0000}"/>
    <cellStyle name="Обычный 2 19 2" xfId="3879" xr:uid="{00000000-0005-0000-0000-0000270F0000}"/>
    <cellStyle name="Обычный 2 2" xfId="3880" xr:uid="{00000000-0005-0000-0000-0000280F0000}"/>
    <cellStyle name="Обычный 2 2 10" xfId="3881" xr:uid="{00000000-0005-0000-0000-0000290F0000}"/>
    <cellStyle name="Обычный 2 2 10 2" xfId="3882" xr:uid="{00000000-0005-0000-0000-00002A0F0000}"/>
    <cellStyle name="Обычный 2 2 10 3" xfId="3883" xr:uid="{00000000-0005-0000-0000-00002B0F0000}"/>
    <cellStyle name="Обычный 2 2 11" xfId="3884" xr:uid="{00000000-0005-0000-0000-00002C0F0000}"/>
    <cellStyle name="Обычный 2 2 11 2" xfId="3885" xr:uid="{00000000-0005-0000-0000-00002D0F0000}"/>
    <cellStyle name="Обычный 2 2 12" xfId="3886" xr:uid="{00000000-0005-0000-0000-00002E0F0000}"/>
    <cellStyle name="Обычный 2 2 12 2" xfId="3887" xr:uid="{00000000-0005-0000-0000-00002F0F0000}"/>
    <cellStyle name="Обычный 2 2 13" xfId="3888" xr:uid="{00000000-0005-0000-0000-0000300F0000}"/>
    <cellStyle name="Обычный 2 2 13 2" xfId="3889" xr:uid="{00000000-0005-0000-0000-0000310F0000}"/>
    <cellStyle name="Обычный 2 2 14" xfId="3890" xr:uid="{00000000-0005-0000-0000-0000320F0000}"/>
    <cellStyle name="Обычный 2 2 14 2" xfId="3891" xr:uid="{00000000-0005-0000-0000-0000330F0000}"/>
    <cellStyle name="Обычный 2 2 15" xfId="3892" xr:uid="{00000000-0005-0000-0000-0000340F0000}"/>
    <cellStyle name="Обычный 2 2 15 2" xfId="3893" xr:uid="{00000000-0005-0000-0000-0000350F0000}"/>
    <cellStyle name="Обычный 2 2 16" xfId="3894" xr:uid="{00000000-0005-0000-0000-0000360F0000}"/>
    <cellStyle name="Обычный 2 2 16 2" xfId="3895" xr:uid="{00000000-0005-0000-0000-0000370F0000}"/>
    <cellStyle name="Обычный 2 2 17" xfId="3896" xr:uid="{00000000-0005-0000-0000-0000380F0000}"/>
    <cellStyle name="Обычный 2 2 17 2" xfId="3897" xr:uid="{00000000-0005-0000-0000-0000390F0000}"/>
    <cellStyle name="Обычный 2 2 18" xfId="3898" xr:uid="{00000000-0005-0000-0000-00003A0F0000}"/>
    <cellStyle name="Обычный 2 2 18 2" xfId="3899" xr:uid="{00000000-0005-0000-0000-00003B0F0000}"/>
    <cellStyle name="Обычный 2 2 19" xfId="3900" xr:uid="{00000000-0005-0000-0000-00003C0F0000}"/>
    <cellStyle name="Обычный 2 2 2" xfId="3901" xr:uid="{00000000-0005-0000-0000-00003D0F0000}"/>
    <cellStyle name="Обычный 2 2 2 10" xfId="3902" xr:uid="{00000000-0005-0000-0000-00003E0F0000}"/>
    <cellStyle name="Обычный 2 2 2 11" xfId="3903" xr:uid="{00000000-0005-0000-0000-00003F0F0000}"/>
    <cellStyle name="Обычный 2 2 2 12" xfId="3904" xr:uid="{00000000-0005-0000-0000-0000400F0000}"/>
    <cellStyle name="Обычный 2 2 2 13" xfId="3905" xr:uid="{00000000-0005-0000-0000-0000410F0000}"/>
    <cellStyle name="Обычный 2 2 2 14" xfId="3906" xr:uid="{00000000-0005-0000-0000-0000420F0000}"/>
    <cellStyle name="Обычный 2 2 2 15" xfId="3907" xr:uid="{00000000-0005-0000-0000-0000430F0000}"/>
    <cellStyle name="Обычный 2 2 2 16" xfId="3908" xr:uid="{00000000-0005-0000-0000-0000440F0000}"/>
    <cellStyle name="Обычный 2 2 2 17" xfId="3909" xr:uid="{00000000-0005-0000-0000-0000450F0000}"/>
    <cellStyle name="Обычный 2 2 2 18" xfId="3910" xr:uid="{00000000-0005-0000-0000-0000460F0000}"/>
    <cellStyle name="Обычный 2 2 2 19" xfId="3911" xr:uid="{00000000-0005-0000-0000-0000470F0000}"/>
    <cellStyle name="Обычный 2 2 2 2" xfId="3912" xr:uid="{00000000-0005-0000-0000-0000480F0000}"/>
    <cellStyle name="Обычный 2 2 2 2 2" xfId="3913" xr:uid="{00000000-0005-0000-0000-0000490F0000}"/>
    <cellStyle name="Обычный 2 2 2 3" xfId="3914" xr:uid="{00000000-0005-0000-0000-00004A0F0000}"/>
    <cellStyle name="Обычный 2 2 2 3 2" xfId="3915" xr:uid="{00000000-0005-0000-0000-00004B0F0000}"/>
    <cellStyle name="Обычный 2 2 2 4" xfId="3916" xr:uid="{00000000-0005-0000-0000-00004C0F0000}"/>
    <cellStyle name="Обычный 2 2 2 5" xfId="3917" xr:uid="{00000000-0005-0000-0000-00004D0F0000}"/>
    <cellStyle name="Обычный 2 2 2 6" xfId="3918" xr:uid="{00000000-0005-0000-0000-00004E0F0000}"/>
    <cellStyle name="Обычный 2 2 2 7" xfId="3919" xr:uid="{00000000-0005-0000-0000-00004F0F0000}"/>
    <cellStyle name="Обычный 2 2 2 8" xfId="3920" xr:uid="{00000000-0005-0000-0000-0000500F0000}"/>
    <cellStyle name="Обычный 2 2 2 9" xfId="3921" xr:uid="{00000000-0005-0000-0000-0000510F0000}"/>
    <cellStyle name="Обычный 2 2 3" xfId="3922" xr:uid="{00000000-0005-0000-0000-0000520F0000}"/>
    <cellStyle name="Обычный 2 2 3 2" xfId="3923" xr:uid="{00000000-0005-0000-0000-0000530F0000}"/>
    <cellStyle name="Обычный 2 2 3 3" xfId="3924" xr:uid="{00000000-0005-0000-0000-0000540F0000}"/>
    <cellStyle name="Обычный 2 2 3 4" xfId="3925" xr:uid="{00000000-0005-0000-0000-0000550F0000}"/>
    <cellStyle name="Обычный 2 2 4" xfId="3926" xr:uid="{00000000-0005-0000-0000-0000560F0000}"/>
    <cellStyle name="Обычный 2 2 4 2" xfId="3927" xr:uid="{00000000-0005-0000-0000-0000570F0000}"/>
    <cellStyle name="Обычный 2 2 5" xfId="3928" xr:uid="{00000000-0005-0000-0000-0000580F0000}"/>
    <cellStyle name="Обычный 2 2 5 2" xfId="3929" xr:uid="{00000000-0005-0000-0000-0000590F0000}"/>
    <cellStyle name="Обычный 2 2 6" xfId="3930" xr:uid="{00000000-0005-0000-0000-00005A0F0000}"/>
    <cellStyle name="Обычный 2 2 6 2" xfId="3931" xr:uid="{00000000-0005-0000-0000-00005B0F0000}"/>
    <cellStyle name="Обычный 2 2 7" xfId="3932" xr:uid="{00000000-0005-0000-0000-00005C0F0000}"/>
    <cellStyle name="Обычный 2 2 7 2" xfId="3933" xr:uid="{00000000-0005-0000-0000-00005D0F0000}"/>
    <cellStyle name="Обычный 2 2 8" xfId="3934" xr:uid="{00000000-0005-0000-0000-00005E0F0000}"/>
    <cellStyle name="Обычный 2 2 8 2" xfId="3935" xr:uid="{00000000-0005-0000-0000-00005F0F0000}"/>
    <cellStyle name="Обычный 2 2 9" xfId="3936" xr:uid="{00000000-0005-0000-0000-0000600F0000}"/>
    <cellStyle name="Обычный 2 2 9 2" xfId="3937" xr:uid="{00000000-0005-0000-0000-0000610F0000}"/>
    <cellStyle name="Обычный 2 2_КопияЯрэнерго прил.дог.8" xfId="3938" xr:uid="{00000000-0005-0000-0000-0000620F0000}"/>
    <cellStyle name="Обычный 2 20" xfId="3939" xr:uid="{00000000-0005-0000-0000-0000630F0000}"/>
    <cellStyle name="Обычный 2 21" xfId="3940" xr:uid="{00000000-0005-0000-0000-0000640F0000}"/>
    <cellStyle name="Обычный 2 22" xfId="3941" xr:uid="{00000000-0005-0000-0000-0000650F0000}"/>
    <cellStyle name="Обычный 2 22 2" xfId="3942" xr:uid="{00000000-0005-0000-0000-0000660F0000}"/>
    <cellStyle name="Обычный 2 23" xfId="3943" xr:uid="{00000000-0005-0000-0000-0000670F0000}"/>
    <cellStyle name="Обычный 2 24" xfId="3944" xr:uid="{00000000-0005-0000-0000-0000680F0000}"/>
    <cellStyle name="Обычный 2 24 2" xfId="3945" xr:uid="{00000000-0005-0000-0000-0000690F0000}"/>
    <cellStyle name="Обычный 2 25" xfId="3946" xr:uid="{00000000-0005-0000-0000-00006A0F0000}"/>
    <cellStyle name="Обычный 2 26" xfId="3947" xr:uid="{00000000-0005-0000-0000-00006B0F0000}"/>
    <cellStyle name="Обычный 2 26 2" xfId="3948" xr:uid="{00000000-0005-0000-0000-00006C0F0000}"/>
    <cellStyle name="Обычный 2 27" xfId="3949" xr:uid="{00000000-0005-0000-0000-00006D0F0000}"/>
    <cellStyle name="Обычный 2 28" xfId="3950" xr:uid="{00000000-0005-0000-0000-00006E0F0000}"/>
    <cellStyle name="Обычный 2 29" xfId="3951" xr:uid="{00000000-0005-0000-0000-00006F0F0000}"/>
    <cellStyle name="Обычный 2 3" xfId="3952" xr:uid="{00000000-0005-0000-0000-0000700F0000}"/>
    <cellStyle name="Обычный 2 3 17" xfId="3953" xr:uid="{00000000-0005-0000-0000-0000710F0000}"/>
    <cellStyle name="Обычный 2 3 2" xfId="3954" xr:uid="{00000000-0005-0000-0000-0000720F0000}"/>
    <cellStyle name="Обычный 2 3 2 2" xfId="3955" xr:uid="{00000000-0005-0000-0000-0000730F0000}"/>
    <cellStyle name="Обычный 2 3 3" xfId="3956" xr:uid="{00000000-0005-0000-0000-0000740F0000}"/>
    <cellStyle name="Обычный 2 3 3 2" xfId="3957" xr:uid="{00000000-0005-0000-0000-0000750F0000}"/>
    <cellStyle name="Обычный 2 31" xfId="3958" xr:uid="{00000000-0005-0000-0000-0000760F0000}"/>
    <cellStyle name="Обычный 2 34" xfId="3959" xr:uid="{00000000-0005-0000-0000-0000770F0000}"/>
    <cellStyle name="Обычный 2 38" xfId="3960" xr:uid="{00000000-0005-0000-0000-0000780F0000}"/>
    <cellStyle name="Обычный 2 4" xfId="3961" xr:uid="{00000000-0005-0000-0000-0000790F0000}"/>
    <cellStyle name="Обычный 2 4 2" xfId="3962" xr:uid="{00000000-0005-0000-0000-00007A0F0000}"/>
    <cellStyle name="Обычный 2 4 2 2" xfId="3963" xr:uid="{00000000-0005-0000-0000-00007B0F0000}"/>
    <cellStyle name="Обычный 2 4 3" xfId="3964" xr:uid="{00000000-0005-0000-0000-00007C0F0000}"/>
    <cellStyle name="Обычный 2 40" xfId="3965" xr:uid="{00000000-0005-0000-0000-00007D0F0000}"/>
    <cellStyle name="Обычный 2 43" xfId="3966" xr:uid="{00000000-0005-0000-0000-00007E0F0000}"/>
    <cellStyle name="Обычный 2 49" xfId="3967" xr:uid="{00000000-0005-0000-0000-00007F0F0000}"/>
    <cellStyle name="Обычный 2 5" xfId="3968" xr:uid="{00000000-0005-0000-0000-0000800F0000}"/>
    <cellStyle name="Обычный 2 5 2" xfId="3969" xr:uid="{00000000-0005-0000-0000-0000810F0000}"/>
    <cellStyle name="Обычный 2 53" xfId="3970" xr:uid="{00000000-0005-0000-0000-0000820F0000}"/>
    <cellStyle name="Обычный 2 56" xfId="3971" xr:uid="{00000000-0005-0000-0000-0000830F0000}"/>
    <cellStyle name="Обычный 2 57" xfId="3972" xr:uid="{00000000-0005-0000-0000-0000840F0000}"/>
    <cellStyle name="Обычный 2 6" xfId="3973" xr:uid="{00000000-0005-0000-0000-0000850F0000}"/>
    <cellStyle name="Обычный 2 6 2" xfId="3974" xr:uid="{00000000-0005-0000-0000-0000860F0000}"/>
    <cellStyle name="Обычный 2 6 2 2" xfId="3975" xr:uid="{00000000-0005-0000-0000-0000870F0000}"/>
    <cellStyle name="Обычный 2 6 3" xfId="3976" xr:uid="{00000000-0005-0000-0000-0000880F0000}"/>
    <cellStyle name="Обычный 2 6 4" xfId="3977" xr:uid="{00000000-0005-0000-0000-0000890F0000}"/>
    <cellStyle name="Обычный 2 6 5" xfId="3978" xr:uid="{00000000-0005-0000-0000-00008A0F0000}"/>
    <cellStyle name="Обычный 2 60" xfId="3979" xr:uid="{00000000-0005-0000-0000-00008B0F0000}"/>
    <cellStyle name="Обычный 2 65" xfId="3980" xr:uid="{00000000-0005-0000-0000-00008C0F0000}"/>
    <cellStyle name="Обычный 2 66" xfId="3981" xr:uid="{00000000-0005-0000-0000-00008D0F0000}"/>
    <cellStyle name="Обычный 2 7" xfId="3982" xr:uid="{00000000-0005-0000-0000-00008E0F0000}"/>
    <cellStyle name="Обычный 2 7 2" xfId="3983" xr:uid="{00000000-0005-0000-0000-00008F0F0000}"/>
    <cellStyle name="Обычный 2 7 3" xfId="3984" xr:uid="{00000000-0005-0000-0000-0000900F0000}"/>
    <cellStyle name="Обычный 2 70" xfId="3985" xr:uid="{00000000-0005-0000-0000-0000910F0000}"/>
    <cellStyle name="Обычный 2 71" xfId="3986" xr:uid="{00000000-0005-0000-0000-0000920F0000}"/>
    <cellStyle name="Обычный 2 74" xfId="3987" xr:uid="{00000000-0005-0000-0000-0000930F0000}"/>
    <cellStyle name="Обычный 2 77" xfId="3988" xr:uid="{00000000-0005-0000-0000-0000940F0000}"/>
    <cellStyle name="Обычный 2 8" xfId="3989" xr:uid="{00000000-0005-0000-0000-0000950F0000}"/>
    <cellStyle name="Обычный 2 8 2" xfId="3990" xr:uid="{00000000-0005-0000-0000-0000960F0000}"/>
    <cellStyle name="Обычный 2 8 3" xfId="3991" xr:uid="{00000000-0005-0000-0000-0000970F0000}"/>
    <cellStyle name="Обычный 2 9" xfId="3992" xr:uid="{00000000-0005-0000-0000-0000980F0000}"/>
    <cellStyle name="Обычный 2 9 10" xfId="3993" xr:uid="{00000000-0005-0000-0000-0000990F0000}"/>
    <cellStyle name="Обычный 2 9 10 2" xfId="3994" xr:uid="{00000000-0005-0000-0000-00009A0F0000}"/>
    <cellStyle name="Обычный 2 9 10 2 2" xfId="3995" xr:uid="{00000000-0005-0000-0000-00009B0F0000}"/>
    <cellStyle name="Обычный 2 9 10 2 3" xfId="3996" xr:uid="{00000000-0005-0000-0000-00009C0F0000}"/>
    <cellStyle name="Обычный 2 9 10 3" xfId="3997" xr:uid="{00000000-0005-0000-0000-00009D0F0000}"/>
    <cellStyle name="Обычный 2 9 10 3 2" xfId="3998" xr:uid="{00000000-0005-0000-0000-00009E0F0000}"/>
    <cellStyle name="Обычный 2 9 10 4" xfId="3999" xr:uid="{00000000-0005-0000-0000-00009F0F0000}"/>
    <cellStyle name="Обычный 2 9 10 5" xfId="4000" xr:uid="{00000000-0005-0000-0000-0000A00F0000}"/>
    <cellStyle name="Обычный 2 9 11" xfId="4001" xr:uid="{00000000-0005-0000-0000-0000A10F0000}"/>
    <cellStyle name="Обычный 2 9 11 2" xfId="4002" xr:uid="{00000000-0005-0000-0000-0000A20F0000}"/>
    <cellStyle name="Обычный 2 9 11 2 2" xfId="4003" xr:uid="{00000000-0005-0000-0000-0000A30F0000}"/>
    <cellStyle name="Обычный 2 9 11 2 3" xfId="4004" xr:uid="{00000000-0005-0000-0000-0000A40F0000}"/>
    <cellStyle name="Обычный 2 9 11 3" xfId="4005" xr:uid="{00000000-0005-0000-0000-0000A50F0000}"/>
    <cellStyle name="Обычный 2 9 11 3 2" xfId="4006" xr:uid="{00000000-0005-0000-0000-0000A60F0000}"/>
    <cellStyle name="Обычный 2 9 11 4" xfId="4007" xr:uid="{00000000-0005-0000-0000-0000A70F0000}"/>
    <cellStyle name="Обычный 2 9 11 5" xfId="4008" xr:uid="{00000000-0005-0000-0000-0000A80F0000}"/>
    <cellStyle name="Обычный 2 9 12" xfId="4009" xr:uid="{00000000-0005-0000-0000-0000A90F0000}"/>
    <cellStyle name="Обычный 2 9 12 2" xfId="4010" xr:uid="{00000000-0005-0000-0000-0000AA0F0000}"/>
    <cellStyle name="Обычный 2 9 12 2 2" xfId="4011" xr:uid="{00000000-0005-0000-0000-0000AB0F0000}"/>
    <cellStyle name="Обычный 2 9 12 2 3" xfId="4012" xr:uid="{00000000-0005-0000-0000-0000AC0F0000}"/>
    <cellStyle name="Обычный 2 9 12 3" xfId="4013" xr:uid="{00000000-0005-0000-0000-0000AD0F0000}"/>
    <cellStyle name="Обычный 2 9 12 3 2" xfId="4014" xr:uid="{00000000-0005-0000-0000-0000AE0F0000}"/>
    <cellStyle name="Обычный 2 9 12 4" xfId="4015" xr:uid="{00000000-0005-0000-0000-0000AF0F0000}"/>
    <cellStyle name="Обычный 2 9 12 5" xfId="4016" xr:uid="{00000000-0005-0000-0000-0000B00F0000}"/>
    <cellStyle name="Обычный 2 9 13" xfId="4017" xr:uid="{00000000-0005-0000-0000-0000B10F0000}"/>
    <cellStyle name="Обычный 2 9 13 2" xfId="4018" xr:uid="{00000000-0005-0000-0000-0000B20F0000}"/>
    <cellStyle name="Обычный 2 9 13 2 2" xfId="4019" xr:uid="{00000000-0005-0000-0000-0000B30F0000}"/>
    <cellStyle name="Обычный 2 9 13 2 3" xfId="4020" xr:uid="{00000000-0005-0000-0000-0000B40F0000}"/>
    <cellStyle name="Обычный 2 9 13 3" xfId="4021" xr:uid="{00000000-0005-0000-0000-0000B50F0000}"/>
    <cellStyle name="Обычный 2 9 13 3 2" xfId="4022" xr:uid="{00000000-0005-0000-0000-0000B60F0000}"/>
    <cellStyle name="Обычный 2 9 13 4" xfId="4023" xr:uid="{00000000-0005-0000-0000-0000B70F0000}"/>
    <cellStyle name="Обычный 2 9 13 5" xfId="4024" xr:uid="{00000000-0005-0000-0000-0000B80F0000}"/>
    <cellStyle name="Обычный 2 9 14" xfId="4025" xr:uid="{00000000-0005-0000-0000-0000B90F0000}"/>
    <cellStyle name="Обычный 2 9 14 2" xfId="4026" xr:uid="{00000000-0005-0000-0000-0000BA0F0000}"/>
    <cellStyle name="Обычный 2 9 14 3" xfId="4027" xr:uid="{00000000-0005-0000-0000-0000BB0F0000}"/>
    <cellStyle name="Обычный 2 9 15" xfId="4028" xr:uid="{00000000-0005-0000-0000-0000BC0F0000}"/>
    <cellStyle name="Обычный 2 9 15 2" xfId="4029" xr:uid="{00000000-0005-0000-0000-0000BD0F0000}"/>
    <cellStyle name="Обычный 2 9 16" xfId="4030" xr:uid="{00000000-0005-0000-0000-0000BE0F0000}"/>
    <cellStyle name="Обычный 2 9 17" xfId="4031" xr:uid="{00000000-0005-0000-0000-0000BF0F0000}"/>
    <cellStyle name="Обычный 2 9 18" xfId="4032" xr:uid="{00000000-0005-0000-0000-0000C00F0000}"/>
    <cellStyle name="Обычный 2 9 2" xfId="4033" xr:uid="{00000000-0005-0000-0000-0000C10F0000}"/>
    <cellStyle name="Обычный 2 9 2 2" xfId="4034" xr:uid="{00000000-0005-0000-0000-0000C20F0000}"/>
    <cellStyle name="Обычный 2 9 2 2 2" xfId="4035" xr:uid="{00000000-0005-0000-0000-0000C30F0000}"/>
    <cellStyle name="Обычный 2 9 2 2 2 2" xfId="4036" xr:uid="{00000000-0005-0000-0000-0000C40F0000}"/>
    <cellStyle name="Обычный 2 9 2 2 2 3" xfId="4037" xr:uid="{00000000-0005-0000-0000-0000C50F0000}"/>
    <cellStyle name="Обычный 2 9 2 2 3" xfId="4038" xr:uid="{00000000-0005-0000-0000-0000C60F0000}"/>
    <cellStyle name="Обычный 2 9 2 2 3 2" xfId="4039" xr:uid="{00000000-0005-0000-0000-0000C70F0000}"/>
    <cellStyle name="Обычный 2 9 2 2 4" xfId="4040" xr:uid="{00000000-0005-0000-0000-0000C80F0000}"/>
    <cellStyle name="Обычный 2 9 2 2 5" xfId="4041" xr:uid="{00000000-0005-0000-0000-0000C90F0000}"/>
    <cellStyle name="Обычный 2 9 2 3" xfId="4042" xr:uid="{00000000-0005-0000-0000-0000CA0F0000}"/>
    <cellStyle name="Обычный 2 9 2 4" xfId="4043" xr:uid="{00000000-0005-0000-0000-0000CB0F0000}"/>
    <cellStyle name="Обычный 2 9 2 4 2" xfId="4044" xr:uid="{00000000-0005-0000-0000-0000CC0F0000}"/>
    <cellStyle name="Обычный 2 9 2 4 3" xfId="4045" xr:uid="{00000000-0005-0000-0000-0000CD0F0000}"/>
    <cellStyle name="Обычный 2 9 2 5" xfId="4046" xr:uid="{00000000-0005-0000-0000-0000CE0F0000}"/>
    <cellStyle name="Обычный 2 9 2 5 2" xfId="4047" xr:uid="{00000000-0005-0000-0000-0000CF0F0000}"/>
    <cellStyle name="Обычный 2 9 2 6" xfId="4048" xr:uid="{00000000-0005-0000-0000-0000D00F0000}"/>
    <cellStyle name="Обычный 2 9 2 7" xfId="4049" xr:uid="{00000000-0005-0000-0000-0000D10F0000}"/>
    <cellStyle name="Обычный 2 9 3" xfId="4050" xr:uid="{00000000-0005-0000-0000-0000D20F0000}"/>
    <cellStyle name="Обычный 2 9 3 2" xfId="4051" xr:uid="{00000000-0005-0000-0000-0000D30F0000}"/>
    <cellStyle name="Обычный 2 9 3 2 2" xfId="4052" xr:uid="{00000000-0005-0000-0000-0000D40F0000}"/>
    <cellStyle name="Обычный 2 9 3 2 2 2" xfId="4053" xr:uid="{00000000-0005-0000-0000-0000D50F0000}"/>
    <cellStyle name="Обычный 2 9 3 2 2 3" xfId="4054" xr:uid="{00000000-0005-0000-0000-0000D60F0000}"/>
    <cellStyle name="Обычный 2 9 3 2 3" xfId="4055" xr:uid="{00000000-0005-0000-0000-0000D70F0000}"/>
    <cellStyle name="Обычный 2 9 3 2 3 2" xfId="4056" xr:uid="{00000000-0005-0000-0000-0000D80F0000}"/>
    <cellStyle name="Обычный 2 9 3 2 4" xfId="4057" xr:uid="{00000000-0005-0000-0000-0000D90F0000}"/>
    <cellStyle name="Обычный 2 9 3 2 5" xfId="4058" xr:uid="{00000000-0005-0000-0000-0000DA0F0000}"/>
    <cellStyle name="Обычный 2 9 3 3" xfId="4059" xr:uid="{00000000-0005-0000-0000-0000DB0F0000}"/>
    <cellStyle name="Обычный 2 9 3 3 2" xfId="4060" xr:uid="{00000000-0005-0000-0000-0000DC0F0000}"/>
    <cellStyle name="Обычный 2 9 3 3 3" xfId="4061" xr:uid="{00000000-0005-0000-0000-0000DD0F0000}"/>
    <cellStyle name="Обычный 2 9 3 4" xfId="4062" xr:uid="{00000000-0005-0000-0000-0000DE0F0000}"/>
    <cellStyle name="Обычный 2 9 3 4 2" xfId="4063" xr:uid="{00000000-0005-0000-0000-0000DF0F0000}"/>
    <cellStyle name="Обычный 2 9 3 5" xfId="4064" xr:uid="{00000000-0005-0000-0000-0000E00F0000}"/>
    <cellStyle name="Обычный 2 9 3 6" xfId="4065" xr:uid="{00000000-0005-0000-0000-0000E10F0000}"/>
    <cellStyle name="Обычный 2 9 4" xfId="4066" xr:uid="{00000000-0005-0000-0000-0000E20F0000}"/>
    <cellStyle name="Обычный 2 9 4 2" xfId="4067" xr:uid="{00000000-0005-0000-0000-0000E30F0000}"/>
    <cellStyle name="Обычный 2 9 4 2 2" xfId="4068" xr:uid="{00000000-0005-0000-0000-0000E40F0000}"/>
    <cellStyle name="Обычный 2 9 4 2 2 2" xfId="4069" xr:uid="{00000000-0005-0000-0000-0000E50F0000}"/>
    <cellStyle name="Обычный 2 9 4 2 2 3" xfId="4070" xr:uid="{00000000-0005-0000-0000-0000E60F0000}"/>
    <cellStyle name="Обычный 2 9 4 2 3" xfId="4071" xr:uid="{00000000-0005-0000-0000-0000E70F0000}"/>
    <cellStyle name="Обычный 2 9 4 2 3 2" xfId="4072" xr:uid="{00000000-0005-0000-0000-0000E80F0000}"/>
    <cellStyle name="Обычный 2 9 4 2 4" xfId="4073" xr:uid="{00000000-0005-0000-0000-0000E90F0000}"/>
    <cellStyle name="Обычный 2 9 4 2 5" xfId="4074" xr:uid="{00000000-0005-0000-0000-0000EA0F0000}"/>
    <cellStyle name="Обычный 2 9 4 3" xfId="4075" xr:uid="{00000000-0005-0000-0000-0000EB0F0000}"/>
    <cellStyle name="Обычный 2 9 4 3 2" xfId="4076" xr:uid="{00000000-0005-0000-0000-0000EC0F0000}"/>
    <cellStyle name="Обычный 2 9 4 3 3" xfId="4077" xr:uid="{00000000-0005-0000-0000-0000ED0F0000}"/>
    <cellStyle name="Обычный 2 9 4 4" xfId="4078" xr:uid="{00000000-0005-0000-0000-0000EE0F0000}"/>
    <cellStyle name="Обычный 2 9 4 4 2" xfId="4079" xr:uid="{00000000-0005-0000-0000-0000EF0F0000}"/>
    <cellStyle name="Обычный 2 9 4 5" xfId="4080" xr:uid="{00000000-0005-0000-0000-0000F00F0000}"/>
    <cellStyle name="Обычный 2 9 4 6" xfId="4081" xr:uid="{00000000-0005-0000-0000-0000F10F0000}"/>
    <cellStyle name="Обычный 2 9 5" xfId="4082" xr:uid="{00000000-0005-0000-0000-0000F20F0000}"/>
    <cellStyle name="Обычный 2 9 5 2" xfId="4083" xr:uid="{00000000-0005-0000-0000-0000F30F0000}"/>
    <cellStyle name="Обычный 2 9 5 2 2" xfId="4084" xr:uid="{00000000-0005-0000-0000-0000F40F0000}"/>
    <cellStyle name="Обычный 2 9 5 2 2 2" xfId="4085" xr:uid="{00000000-0005-0000-0000-0000F50F0000}"/>
    <cellStyle name="Обычный 2 9 5 2 2 3" xfId="4086" xr:uid="{00000000-0005-0000-0000-0000F60F0000}"/>
    <cellStyle name="Обычный 2 9 5 2 3" xfId="4087" xr:uid="{00000000-0005-0000-0000-0000F70F0000}"/>
    <cellStyle name="Обычный 2 9 5 2 3 2" xfId="4088" xr:uid="{00000000-0005-0000-0000-0000F80F0000}"/>
    <cellStyle name="Обычный 2 9 5 2 4" xfId="4089" xr:uid="{00000000-0005-0000-0000-0000F90F0000}"/>
    <cellStyle name="Обычный 2 9 5 2 5" xfId="4090" xr:uid="{00000000-0005-0000-0000-0000FA0F0000}"/>
    <cellStyle name="Обычный 2 9 5 3" xfId="4091" xr:uid="{00000000-0005-0000-0000-0000FB0F0000}"/>
    <cellStyle name="Обычный 2 9 5 3 2" xfId="4092" xr:uid="{00000000-0005-0000-0000-0000FC0F0000}"/>
    <cellStyle name="Обычный 2 9 5 3 3" xfId="4093" xr:uid="{00000000-0005-0000-0000-0000FD0F0000}"/>
    <cellStyle name="Обычный 2 9 5 4" xfId="4094" xr:uid="{00000000-0005-0000-0000-0000FE0F0000}"/>
    <cellStyle name="Обычный 2 9 5 4 2" xfId="4095" xr:uid="{00000000-0005-0000-0000-0000FF0F0000}"/>
    <cellStyle name="Обычный 2 9 5 5" xfId="4096" xr:uid="{00000000-0005-0000-0000-000000100000}"/>
    <cellStyle name="Обычный 2 9 5 6" xfId="4097" xr:uid="{00000000-0005-0000-0000-000001100000}"/>
    <cellStyle name="Обычный 2 9 6" xfId="4098" xr:uid="{00000000-0005-0000-0000-000002100000}"/>
    <cellStyle name="Обычный 2 9 6 2" xfId="4099" xr:uid="{00000000-0005-0000-0000-000003100000}"/>
    <cellStyle name="Обычный 2 9 6 2 2" xfId="4100" xr:uid="{00000000-0005-0000-0000-000004100000}"/>
    <cellStyle name="Обычный 2 9 6 2 2 2" xfId="4101" xr:uid="{00000000-0005-0000-0000-000005100000}"/>
    <cellStyle name="Обычный 2 9 6 2 2 3" xfId="4102" xr:uid="{00000000-0005-0000-0000-000006100000}"/>
    <cellStyle name="Обычный 2 9 6 2 3" xfId="4103" xr:uid="{00000000-0005-0000-0000-000007100000}"/>
    <cellStyle name="Обычный 2 9 6 2 3 2" xfId="4104" xr:uid="{00000000-0005-0000-0000-000008100000}"/>
    <cellStyle name="Обычный 2 9 6 2 4" xfId="4105" xr:uid="{00000000-0005-0000-0000-000009100000}"/>
    <cellStyle name="Обычный 2 9 6 2 5" xfId="4106" xr:uid="{00000000-0005-0000-0000-00000A100000}"/>
    <cellStyle name="Обычный 2 9 6 3" xfId="4107" xr:uid="{00000000-0005-0000-0000-00000B100000}"/>
    <cellStyle name="Обычный 2 9 6 3 2" xfId="4108" xr:uid="{00000000-0005-0000-0000-00000C100000}"/>
    <cellStyle name="Обычный 2 9 6 3 3" xfId="4109" xr:uid="{00000000-0005-0000-0000-00000D100000}"/>
    <cellStyle name="Обычный 2 9 6 4" xfId="4110" xr:uid="{00000000-0005-0000-0000-00000E100000}"/>
    <cellStyle name="Обычный 2 9 6 4 2" xfId="4111" xr:uid="{00000000-0005-0000-0000-00000F100000}"/>
    <cellStyle name="Обычный 2 9 6 5" xfId="4112" xr:uid="{00000000-0005-0000-0000-000010100000}"/>
    <cellStyle name="Обычный 2 9 6 6" xfId="4113" xr:uid="{00000000-0005-0000-0000-000011100000}"/>
    <cellStyle name="Обычный 2 9 7" xfId="4114" xr:uid="{00000000-0005-0000-0000-000012100000}"/>
    <cellStyle name="Обычный 2 9 7 2" xfId="4115" xr:uid="{00000000-0005-0000-0000-000013100000}"/>
    <cellStyle name="Обычный 2 9 7 2 2" xfId="4116" xr:uid="{00000000-0005-0000-0000-000014100000}"/>
    <cellStyle name="Обычный 2 9 7 2 2 2" xfId="4117" xr:uid="{00000000-0005-0000-0000-000015100000}"/>
    <cellStyle name="Обычный 2 9 7 2 2 3" xfId="4118" xr:uid="{00000000-0005-0000-0000-000016100000}"/>
    <cellStyle name="Обычный 2 9 7 2 3" xfId="4119" xr:uid="{00000000-0005-0000-0000-000017100000}"/>
    <cellStyle name="Обычный 2 9 7 2 3 2" xfId="4120" xr:uid="{00000000-0005-0000-0000-000018100000}"/>
    <cellStyle name="Обычный 2 9 7 2 4" xfId="4121" xr:uid="{00000000-0005-0000-0000-000019100000}"/>
    <cellStyle name="Обычный 2 9 7 2 5" xfId="4122" xr:uid="{00000000-0005-0000-0000-00001A100000}"/>
    <cellStyle name="Обычный 2 9 7 3" xfId="4123" xr:uid="{00000000-0005-0000-0000-00001B100000}"/>
    <cellStyle name="Обычный 2 9 7 3 2" xfId="4124" xr:uid="{00000000-0005-0000-0000-00001C100000}"/>
    <cellStyle name="Обычный 2 9 7 3 3" xfId="4125" xr:uid="{00000000-0005-0000-0000-00001D100000}"/>
    <cellStyle name="Обычный 2 9 7 4" xfId="4126" xr:uid="{00000000-0005-0000-0000-00001E100000}"/>
    <cellStyle name="Обычный 2 9 7 4 2" xfId="4127" xr:uid="{00000000-0005-0000-0000-00001F100000}"/>
    <cellStyle name="Обычный 2 9 7 5" xfId="4128" xr:uid="{00000000-0005-0000-0000-000020100000}"/>
    <cellStyle name="Обычный 2 9 7 6" xfId="4129" xr:uid="{00000000-0005-0000-0000-000021100000}"/>
    <cellStyle name="Обычный 2 9 8" xfId="4130" xr:uid="{00000000-0005-0000-0000-000022100000}"/>
    <cellStyle name="Обычный 2 9 8 2" xfId="4131" xr:uid="{00000000-0005-0000-0000-000023100000}"/>
    <cellStyle name="Обычный 2 9 8 2 2" xfId="4132" xr:uid="{00000000-0005-0000-0000-000024100000}"/>
    <cellStyle name="Обычный 2 9 8 2 3" xfId="4133" xr:uid="{00000000-0005-0000-0000-000025100000}"/>
    <cellStyle name="Обычный 2 9 8 3" xfId="4134" xr:uid="{00000000-0005-0000-0000-000026100000}"/>
    <cellStyle name="Обычный 2 9 8 3 2" xfId="4135" xr:uid="{00000000-0005-0000-0000-000027100000}"/>
    <cellStyle name="Обычный 2 9 8 4" xfId="4136" xr:uid="{00000000-0005-0000-0000-000028100000}"/>
    <cellStyle name="Обычный 2 9 8 5" xfId="4137" xr:uid="{00000000-0005-0000-0000-000029100000}"/>
    <cellStyle name="Обычный 2 9 9" xfId="4138" xr:uid="{00000000-0005-0000-0000-00002A100000}"/>
    <cellStyle name="Обычный 2 9 9 2" xfId="4139" xr:uid="{00000000-0005-0000-0000-00002B100000}"/>
    <cellStyle name="Обычный 2 9 9 2 2" xfId="4140" xr:uid="{00000000-0005-0000-0000-00002C100000}"/>
    <cellStyle name="Обычный 2 9 9 2 3" xfId="4141" xr:uid="{00000000-0005-0000-0000-00002D100000}"/>
    <cellStyle name="Обычный 2 9 9 3" xfId="4142" xr:uid="{00000000-0005-0000-0000-00002E100000}"/>
    <cellStyle name="Обычный 2 9 9 3 2" xfId="4143" xr:uid="{00000000-0005-0000-0000-00002F100000}"/>
    <cellStyle name="Обычный 2 9 9 4" xfId="4144" xr:uid="{00000000-0005-0000-0000-000030100000}"/>
    <cellStyle name="Обычный 2 9 9 5" xfId="4145" xr:uid="{00000000-0005-0000-0000-000031100000}"/>
    <cellStyle name="Обычный 2_11.10.11 К дог.Очистные Сырзавод ПС Борисоглеб" xfId="4146" xr:uid="{00000000-0005-0000-0000-000032100000}"/>
    <cellStyle name="Обычный 20" xfId="4147" xr:uid="{00000000-0005-0000-0000-000033100000}"/>
    <cellStyle name="Обычный 20 2" xfId="4148" xr:uid="{00000000-0005-0000-0000-000034100000}"/>
    <cellStyle name="Обычный 20 2 2" xfId="4149" xr:uid="{00000000-0005-0000-0000-000035100000}"/>
    <cellStyle name="Обычный 20 2 2 2" xfId="4150" xr:uid="{00000000-0005-0000-0000-000036100000}"/>
    <cellStyle name="Обычный 20 2 2 3" xfId="4151" xr:uid="{00000000-0005-0000-0000-000037100000}"/>
    <cellStyle name="Обычный 20 2 3" xfId="4152" xr:uid="{00000000-0005-0000-0000-000038100000}"/>
    <cellStyle name="Обычный 20 2 3 2" xfId="4153" xr:uid="{00000000-0005-0000-0000-000039100000}"/>
    <cellStyle name="Обычный 20 2 4" xfId="4154" xr:uid="{00000000-0005-0000-0000-00003A100000}"/>
    <cellStyle name="Обычный 20 2 5" xfId="4155" xr:uid="{00000000-0005-0000-0000-00003B100000}"/>
    <cellStyle name="Обычный 20 2 6" xfId="4156" xr:uid="{00000000-0005-0000-0000-00003C100000}"/>
    <cellStyle name="Обычный 20 3" xfId="4157" xr:uid="{00000000-0005-0000-0000-00003D100000}"/>
    <cellStyle name="Обычный 20 3 2" xfId="4158" xr:uid="{00000000-0005-0000-0000-00003E100000}"/>
    <cellStyle name="Обычный 20 3 2 2" xfId="4159" xr:uid="{00000000-0005-0000-0000-00003F100000}"/>
    <cellStyle name="Обычный 20 3 2 2 2" xfId="4160" xr:uid="{00000000-0005-0000-0000-000040100000}"/>
    <cellStyle name="Обычный 20 3 2 3" xfId="4161" xr:uid="{00000000-0005-0000-0000-000041100000}"/>
    <cellStyle name="Обычный 20 3 2 4" xfId="4162" xr:uid="{00000000-0005-0000-0000-000042100000}"/>
    <cellStyle name="Обычный 20 3 3" xfId="4163" xr:uid="{00000000-0005-0000-0000-000043100000}"/>
    <cellStyle name="Обычный 20 4" xfId="4164" xr:uid="{00000000-0005-0000-0000-000044100000}"/>
    <cellStyle name="Обычный 20 4 2" xfId="4165" xr:uid="{00000000-0005-0000-0000-000045100000}"/>
    <cellStyle name="Обычный 20 4 3" xfId="4166" xr:uid="{00000000-0005-0000-0000-000046100000}"/>
    <cellStyle name="Обычный 20 5" xfId="4167" xr:uid="{00000000-0005-0000-0000-000047100000}"/>
    <cellStyle name="Обычный 20 5 2" xfId="4168" xr:uid="{00000000-0005-0000-0000-000048100000}"/>
    <cellStyle name="Обычный 20 6" xfId="4169" xr:uid="{00000000-0005-0000-0000-000049100000}"/>
    <cellStyle name="Обычный 20 7" xfId="4170" xr:uid="{00000000-0005-0000-0000-00004A100000}"/>
    <cellStyle name="Обычный 20 8" xfId="4171" xr:uid="{00000000-0005-0000-0000-00004B100000}"/>
    <cellStyle name="Обычный 201" xfId="4172" xr:uid="{00000000-0005-0000-0000-00004C100000}"/>
    <cellStyle name="Обычный 202" xfId="4173" xr:uid="{00000000-0005-0000-0000-00004D100000}"/>
    <cellStyle name="Обычный 203" xfId="4174" xr:uid="{00000000-0005-0000-0000-00004E100000}"/>
    <cellStyle name="Обычный 204" xfId="4175" xr:uid="{00000000-0005-0000-0000-00004F100000}"/>
    <cellStyle name="Обычный 207" xfId="4176" xr:uid="{00000000-0005-0000-0000-000050100000}"/>
    <cellStyle name="Обычный 208" xfId="4177" xr:uid="{00000000-0005-0000-0000-000051100000}"/>
    <cellStyle name="Обычный 209" xfId="4178" xr:uid="{00000000-0005-0000-0000-000052100000}"/>
    <cellStyle name="Обычный 21" xfId="4179" xr:uid="{00000000-0005-0000-0000-000053100000}"/>
    <cellStyle name="Обычный 21 2" xfId="4180" xr:uid="{00000000-0005-0000-0000-000054100000}"/>
    <cellStyle name="Обычный 21 2 2" xfId="4181" xr:uid="{00000000-0005-0000-0000-000055100000}"/>
    <cellStyle name="Обычный 21 3" xfId="4182" xr:uid="{00000000-0005-0000-0000-000056100000}"/>
    <cellStyle name="Обычный 210" xfId="4183" xr:uid="{00000000-0005-0000-0000-000057100000}"/>
    <cellStyle name="Обычный 212" xfId="4184" xr:uid="{00000000-0005-0000-0000-000058100000}"/>
    <cellStyle name="Обычный 215" xfId="4185" xr:uid="{00000000-0005-0000-0000-000059100000}"/>
    <cellStyle name="Обычный 217" xfId="4186" xr:uid="{00000000-0005-0000-0000-00005A100000}"/>
    <cellStyle name="Обычный 218" xfId="4187" xr:uid="{00000000-0005-0000-0000-00005B100000}"/>
    <cellStyle name="Обычный 22" xfId="4188" xr:uid="{00000000-0005-0000-0000-00005C100000}"/>
    <cellStyle name="Обычный 22 2" xfId="4189" xr:uid="{00000000-0005-0000-0000-00005D100000}"/>
    <cellStyle name="Обычный 22 2 2" xfId="4190" xr:uid="{00000000-0005-0000-0000-00005E100000}"/>
    <cellStyle name="Обычный 22 2 2 2" xfId="4191" xr:uid="{00000000-0005-0000-0000-00005F100000}"/>
    <cellStyle name="Обычный 22 2 2 3" xfId="4192" xr:uid="{00000000-0005-0000-0000-000060100000}"/>
    <cellStyle name="Обычный 22 2 3" xfId="4193" xr:uid="{00000000-0005-0000-0000-000061100000}"/>
    <cellStyle name="Обычный 22 2 3 2" xfId="4194" xr:uid="{00000000-0005-0000-0000-000062100000}"/>
    <cellStyle name="Обычный 22 2 4" xfId="4195" xr:uid="{00000000-0005-0000-0000-000063100000}"/>
    <cellStyle name="Обычный 22 2 5" xfId="4196" xr:uid="{00000000-0005-0000-0000-000064100000}"/>
    <cellStyle name="Обычный 22 2 6" xfId="4197" xr:uid="{00000000-0005-0000-0000-000065100000}"/>
    <cellStyle name="Обычный 22 3" xfId="4198" xr:uid="{00000000-0005-0000-0000-000066100000}"/>
    <cellStyle name="Обычный 22 3 2" xfId="4199" xr:uid="{00000000-0005-0000-0000-000067100000}"/>
    <cellStyle name="Обычный 22 4" xfId="4200" xr:uid="{00000000-0005-0000-0000-000068100000}"/>
    <cellStyle name="Обычный 22 4 2" xfId="4201" xr:uid="{00000000-0005-0000-0000-000069100000}"/>
    <cellStyle name="Обычный 22 4 3" xfId="4202" xr:uid="{00000000-0005-0000-0000-00006A100000}"/>
    <cellStyle name="Обычный 22 4 4" xfId="4203" xr:uid="{00000000-0005-0000-0000-00006B100000}"/>
    <cellStyle name="Обычный 22 5" xfId="4204" xr:uid="{00000000-0005-0000-0000-00006C100000}"/>
    <cellStyle name="Обычный 22 5 2" xfId="4205" xr:uid="{00000000-0005-0000-0000-00006D100000}"/>
    <cellStyle name="Обычный 22 6" xfId="4206" xr:uid="{00000000-0005-0000-0000-00006E100000}"/>
    <cellStyle name="Обычный 22 7" xfId="4207" xr:uid="{00000000-0005-0000-0000-00006F100000}"/>
    <cellStyle name="Обычный 223" xfId="4208" xr:uid="{00000000-0005-0000-0000-000070100000}"/>
    <cellStyle name="Обычный 224" xfId="4209" xr:uid="{00000000-0005-0000-0000-000071100000}"/>
    <cellStyle name="Обычный 225" xfId="4210" xr:uid="{00000000-0005-0000-0000-000072100000}"/>
    <cellStyle name="Обычный 226" xfId="4211" xr:uid="{00000000-0005-0000-0000-000073100000}"/>
    <cellStyle name="Обычный 23" xfId="4212" xr:uid="{00000000-0005-0000-0000-000074100000}"/>
    <cellStyle name="Обычный 23 2" xfId="4213" xr:uid="{00000000-0005-0000-0000-000075100000}"/>
    <cellStyle name="Обычный 235" xfId="4214" xr:uid="{00000000-0005-0000-0000-000076100000}"/>
    <cellStyle name="Обычный 236" xfId="4215" xr:uid="{00000000-0005-0000-0000-000077100000}"/>
    <cellStyle name="Обычный 238" xfId="4216" xr:uid="{00000000-0005-0000-0000-000078100000}"/>
    <cellStyle name="Обычный 24" xfId="4217" xr:uid="{00000000-0005-0000-0000-000079100000}"/>
    <cellStyle name="Обычный 24 2" xfId="4218" xr:uid="{00000000-0005-0000-0000-00007A100000}"/>
    <cellStyle name="Обычный 24 2 2" xfId="4219" xr:uid="{00000000-0005-0000-0000-00007B100000}"/>
    <cellStyle name="Обычный 24 2 2 2" xfId="4220" xr:uid="{00000000-0005-0000-0000-00007C100000}"/>
    <cellStyle name="Обычный 24 2 2 3" xfId="4221" xr:uid="{00000000-0005-0000-0000-00007D100000}"/>
    <cellStyle name="Обычный 24 2 3" xfId="4222" xr:uid="{00000000-0005-0000-0000-00007E100000}"/>
    <cellStyle name="Обычный 24 2 3 2" xfId="4223" xr:uid="{00000000-0005-0000-0000-00007F100000}"/>
    <cellStyle name="Обычный 24 2 4" xfId="4224" xr:uid="{00000000-0005-0000-0000-000080100000}"/>
    <cellStyle name="Обычный 24 2 5" xfId="4225" xr:uid="{00000000-0005-0000-0000-000081100000}"/>
    <cellStyle name="Обычный 24 2 6" xfId="4226" xr:uid="{00000000-0005-0000-0000-000082100000}"/>
    <cellStyle name="Обычный 24 3" xfId="4227" xr:uid="{00000000-0005-0000-0000-000083100000}"/>
    <cellStyle name="Обычный 24 3 2" xfId="4228" xr:uid="{00000000-0005-0000-0000-000084100000}"/>
    <cellStyle name="Обычный 24 3 3" xfId="4229" xr:uid="{00000000-0005-0000-0000-000085100000}"/>
    <cellStyle name="Обычный 24 3 4" xfId="4230" xr:uid="{00000000-0005-0000-0000-000086100000}"/>
    <cellStyle name="Обычный 24 4" xfId="4231" xr:uid="{00000000-0005-0000-0000-000087100000}"/>
    <cellStyle name="Обычный 24 4 2" xfId="4232" xr:uid="{00000000-0005-0000-0000-000088100000}"/>
    <cellStyle name="Обычный 24 4 3" xfId="4233" xr:uid="{00000000-0005-0000-0000-000089100000}"/>
    <cellStyle name="Обычный 24 5" xfId="4234" xr:uid="{00000000-0005-0000-0000-00008A100000}"/>
    <cellStyle name="Обычный 24 6" xfId="4235" xr:uid="{00000000-0005-0000-0000-00008B100000}"/>
    <cellStyle name="Обычный 24 7" xfId="4236" xr:uid="{00000000-0005-0000-0000-00008C100000}"/>
    <cellStyle name="Обычный 247" xfId="4237" xr:uid="{00000000-0005-0000-0000-00008D100000}"/>
    <cellStyle name="Обычный 248" xfId="4238" xr:uid="{00000000-0005-0000-0000-00008E100000}"/>
    <cellStyle name="Обычный 249" xfId="4239" xr:uid="{00000000-0005-0000-0000-00008F100000}"/>
    <cellStyle name="Обычный 25" xfId="4240" xr:uid="{00000000-0005-0000-0000-000090100000}"/>
    <cellStyle name="Обычный 25 2" xfId="4241" xr:uid="{00000000-0005-0000-0000-000091100000}"/>
    <cellStyle name="Обычный 25 2 2" xfId="4242" xr:uid="{00000000-0005-0000-0000-000092100000}"/>
    <cellStyle name="Обычный 25 2 2 2" xfId="4243" xr:uid="{00000000-0005-0000-0000-000093100000}"/>
    <cellStyle name="Обычный 25 2 2 3" xfId="4244" xr:uid="{00000000-0005-0000-0000-000094100000}"/>
    <cellStyle name="Обычный 25 2 3" xfId="4245" xr:uid="{00000000-0005-0000-0000-000095100000}"/>
    <cellStyle name="Обычный 25 2 3 2" xfId="4246" xr:uid="{00000000-0005-0000-0000-000096100000}"/>
    <cellStyle name="Обычный 25 2 4" xfId="4247" xr:uid="{00000000-0005-0000-0000-000097100000}"/>
    <cellStyle name="Обычный 25 2 5" xfId="4248" xr:uid="{00000000-0005-0000-0000-000098100000}"/>
    <cellStyle name="Обычный 25 2 6" xfId="4249" xr:uid="{00000000-0005-0000-0000-000099100000}"/>
    <cellStyle name="Обычный 25 3" xfId="4250" xr:uid="{00000000-0005-0000-0000-00009A100000}"/>
    <cellStyle name="Обычный 25 3 2" xfId="4251" xr:uid="{00000000-0005-0000-0000-00009B100000}"/>
    <cellStyle name="Обычный 25 3 3" xfId="4252" xr:uid="{00000000-0005-0000-0000-00009C100000}"/>
    <cellStyle name="Обычный 25 4" xfId="4253" xr:uid="{00000000-0005-0000-0000-00009D100000}"/>
    <cellStyle name="Обычный 25 4 2" xfId="4254" xr:uid="{00000000-0005-0000-0000-00009E100000}"/>
    <cellStyle name="Обычный 25 5" xfId="4255" xr:uid="{00000000-0005-0000-0000-00009F100000}"/>
    <cellStyle name="Обычный 25 6" xfId="4256" xr:uid="{00000000-0005-0000-0000-0000A0100000}"/>
    <cellStyle name="Обычный 25 7" xfId="4257" xr:uid="{00000000-0005-0000-0000-0000A1100000}"/>
    <cellStyle name="Обычный 250" xfId="4258" xr:uid="{00000000-0005-0000-0000-0000A2100000}"/>
    <cellStyle name="Обычный 251" xfId="4259" xr:uid="{00000000-0005-0000-0000-0000A3100000}"/>
    <cellStyle name="Обычный 253" xfId="4260" xr:uid="{00000000-0005-0000-0000-0000A4100000}"/>
    <cellStyle name="Обычный 254" xfId="4261" xr:uid="{00000000-0005-0000-0000-0000A5100000}"/>
    <cellStyle name="Обычный 256" xfId="4262" xr:uid="{00000000-0005-0000-0000-0000A6100000}"/>
    <cellStyle name="Обычный 257" xfId="4263" xr:uid="{00000000-0005-0000-0000-0000A7100000}"/>
    <cellStyle name="Обычный 259" xfId="4264" xr:uid="{00000000-0005-0000-0000-0000A8100000}"/>
    <cellStyle name="Обычный 26" xfId="4265" xr:uid="{00000000-0005-0000-0000-0000A9100000}"/>
    <cellStyle name="Обычный 26 2" xfId="4266" xr:uid="{00000000-0005-0000-0000-0000AA100000}"/>
    <cellStyle name="Обычный 26 2 2" xfId="4267" xr:uid="{00000000-0005-0000-0000-0000AB100000}"/>
    <cellStyle name="Обычный 26 2 3" xfId="4268" xr:uid="{00000000-0005-0000-0000-0000AC100000}"/>
    <cellStyle name="Обычный 26 2 3 2" xfId="4269" xr:uid="{00000000-0005-0000-0000-0000AD100000}"/>
    <cellStyle name="Обычный 26 2 3 3" xfId="4270" xr:uid="{00000000-0005-0000-0000-0000AE100000}"/>
    <cellStyle name="Обычный 26 2 4" xfId="4271" xr:uid="{00000000-0005-0000-0000-0000AF100000}"/>
    <cellStyle name="Обычный 26 2 4 2" xfId="4272" xr:uid="{00000000-0005-0000-0000-0000B0100000}"/>
    <cellStyle name="Обычный 26 2 5" xfId="4273" xr:uid="{00000000-0005-0000-0000-0000B1100000}"/>
    <cellStyle name="Обычный 26 2 6" xfId="4274" xr:uid="{00000000-0005-0000-0000-0000B2100000}"/>
    <cellStyle name="Обычный 26 2 7" xfId="4275" xr:uid="{00000000-0005-0000-0000-0000B3100000}"/>
    <cellStyle name="Обычный 26 3" xfId="4276" xr:uid="{00000000-0005-0000-0000-0000B4100000}"/>
    <cellStyle name="Обычный 26 3 2" xfId="4277" xr:uid="{00000000-0005-0000-0000-0000B5100000}"/>
    <cellStyle name="Обычный 26 3 3" xfId="4278" xr:uid="{00000000-0005-0000-0000-0000B6100000}"/>
    <cellStyle name="Обычный 26 4" xfId="4279" xr:uid="{00000000-0005-0000-0000-0000B7100000}"/>
    <cellStyle name="Обычный 26 4 2" xfId="4280" xr:uid="{00000000-0005-0000-0000-0000B8100000}"/>
    <cellStyle name="Обычный 26 5" xfId="4281" xr:uid="{00000000-0005-0000-0000-0000B9100000}"/>
    <cellStyle name="Обычный 26 6" xfId="4282" xr:uid="{00000000-0005-0000-0000-0000BA100000}"/>
    <cellStyle name="Обычный 260" xfId="4283" xr:uid="{00000000-0005-0000-0000-0000BB100000}"/>
    <cellStyle name="Обычный 261" xfId="4284" xr:uid="{00000000-0005-0000-0000-0000BC100000}"/>
    <cellStyle name="Обычный 262" xfId="4285" xr:uid="{00000000-0005-0000-0000-0000BD100000}"/>
    <cellStyle name="Обычный 263" xfId="4286" xr:uid="{00000000-0005-0000-0000-0000BE100000}"/>
    <cellStyle name="Обычный 265" xfId="4287" xr:uid="{00000000-0005-0000-0000-0000BF100000}"/>
    <cellStyle name="Обычный 266" xfId="4288" xr:uid="{00000000-0005-0000-0000-0000C0100000}"/>
    <cellStyle name="Обычный 268" xfId="4289" xr:uid="{00000000-0005-0000-0000-0000C1100000}"/>
    <cellStyle name="Обычный 269" xfId="4290" xr:uid="{00000000-0005-0000-0000-0000C2100000}"/>
    <cellStyle name="Обычный 27" xfId="4291" xr:uid="{00000000-0005-0000-0000-0000C3100000}"/>
    <cellStyle name="Обычный 27 2" xfId="4292" xr:uid="{00000000-0005-0000-0000-0000C4100000}"/>
    <cellStyle name="Обычный 27 2 2" xfId="4293" xr:uid="{00000000-0005-0000-0000-0000C5100000}"/>
    <cellStyle name="Обычный 27 2 3" xfId="4294" xr:uid="{00000000-0005-0000-0000-0000C6100000}"/>
    <cellStyle name="Обычный 27 2 4" xfId="4295" xr:uid="{00000000-0005-0000-0000-0000C7100000}"/>
    <cellStyle name="Обычный 27 3" xfId="4296" xr:uid="{00000000-0005-0000-0000-0000C8100000}"/>
    <cellStyle name="Обычный 27 3 2" xfId="4297" xr:uid="{00000000-0005-0000-0000-0000C9100000}"/>
    <cellStyle name="Обычный 27 4" xfId="4298" xr:uid="{00000000-0005-0000-0000-0000CA100000}"/>
    <cellStyle name="Обычный 27 5" xfId="4299" xr:uid="{00000000-0005-0000-0000-0000CB100000}"/>
    <cellStyle name="Обычный 272" xfId="4300" xr:uid="{00000000-0005-0000-0000-0000CC100000}"/>
    <cellStyle name="Обычный 273" xfId="4301" xr:uid="{00000000-0005-0000-0000-0000CD100000}"/>
    <cellStyle name="Обычный 275" xfId="4302" xr:uid="{00000000-0005-0000-0000-0000CE100000}"/>
    <cellStyle name="Обычный 277" xfId="4303" xr:uid="{00000000-0005-0000-0000-0000CF100000}"/>
    <cellStyle name="Обычный 28" xfId="4304" xr:uid="{00000000-0005-0000-0000-0000D0100000}"/>
    <cellStyle name="Обычный 28 2" xfId="4305" xr:uid="{00000000-0005-0000-0000-0000D1100000}"/>
    <cellStyle name="Обычный 28 2 2" xfId="4306" xr:uid="{00000000-0005-0000-0000-0000D2100000}"/>
    <cellStyle name="Обычный 28 2 3" xfId="4307" xr:uid="{00000000-0005-0000-0000-0000D3100000}"/>
    <cellStyle name="Обычный 28 2 4" xfId="4308" xr:uid="{00000000-0005-0000-0000-0000D4100000}"/>
    <cellStyle name="Обычный 28 3" xfId="4309" xr:uid="{00000000-0005-0000-0000-0000D5100000}"/>
    <cellStyle name="Обычный 28 3 2" xfId="4310" xr:uid="{00000000-0005-0000-0000-0000D6100000}"/>
    <cellStyle name="Обычный 28 3 3" xfId="4311" xr:uid="{00000000-0005-0000-0000-0000D7100000}"/>
    <cellStyle name="Обычный 28 4" xfId="4312" xr:uid="{00000000-0005-0000-0000-0000D8100000}"/>
    <cellStyle name="Обычный 28 4 2" xfId="4313" xr:uid="{00000000-0005-0000-0000-0000D9100000}"/>
    <cellStyle name="Обычный 28 5" xfId="4314" xr:uid="{00000000-0005-0000-0000-0000DA100000}"/>
    <cellStyle name="Обычный 28 6" xfId="4315" xr:uid="{00000000-0005-0000-0000-0000DB100000}"/>
    <cellStyle name="Обычный 281" xfId="4316" xr:uid="{00000000-0005-0000-0000-0000DC100000}"/>
    <cellStyle name="Обычный 282" xfId="4317" xr:uid="{00000000-0005-0000-0000-0000DD100000}"/>
    <cellStyle name="Обычный 284" xfId="4318" xr:uid="{00000000-0005-0000-0000-0000DE100000}"/>
    <cellStyle name="Обычный 286" xfId="4319" xr:uid="{00000000-0005-0000-0000-0000DF100000}"/>
    <cellStyle name="Обычный 288" xfId="4320" xr:uid="{00000000-0005-0000-0000-0000E0100000}"/>
    <cellStyle name="Обычный 29" xfId="4321" xr:uid="{00000000-0005-0000-0000-0000E1100000}"/>
    <cellStyle name="Обычный 29 2" xfId="4322" xr:uid="{00000000-0005-0000-0000-0000E2100000}"/>
    <cellStyle name="Обычный 29 2 2" xfId="4323" xr:uid="{00000000-0005-0000-0000-0000E3100000}"/>
    <cellStyle name="Обычный 29 2 3" xfId="4324" xr:uid="{00000000-0005-0000-0000-0000E4100000}"/>
    <cellStyle name="Обычный 29 3" xfId="4325" xr:uid="{00000000-0005-0000-0000-0000E5100000}"/>
    <cellStyle name="Обычный 29 3 2" xfId="4326" xr:uid="{00000000-0005-0000-0000-0000E6100000}"/>
    <cellStyle name="Обычный 29 3 3" xfId="4327" xr:uid="{00000000-0005-0000-0000-0000E7100000}"/>
    <cellStyle name="Обычный 29 4" xfId="4328" xr:uid="{00000000-0005-0000-0000-0000E8100000}"/>
    <cellStyle name="Обычный 29 4 2" xfId="4329" xr:uid="{00000000-0005-0000-0000-0000E9100000}"/>
    <cellStyle name="Обычный 29 5" xfId="4330" xr:uid="{00000000-0005-0000-0000-0000EA100000}"/>
    <cellStyle name="Обычный 290" xfId="4331" xr:uid="{00000000-0005-0000-0000-0000EB100000}"/>
    <cellStyle name="Обычный 294" xfId="4332" xr:uid="{00000000-0005-0000-0000-0000EC100000}"/>
    <cellStyle name="Обычный 297" xfId="4333" xr:uid="{00000000-0005-0000-0000-0000ED100000}"/>
    <cellStyle name="Обычный 299" xfId="4334" xr:uid="{00000000-0005-0000-0000-0000EE100000}"/>
    <cellStyle name="Обычный 3" xfId="4335" xr:uid="{00000000-0005-0000-0000-0000EF100000}"/>
    <cellStyle name="Обычный 3 10" xfId="4336" xr:uid="{00000000-0005-0000-0000-0000F0100000}"/>
    <cellStyle name="Обычный 3 11" xfId="4337" xr:uid="{00000000-0005-0000-0000-0000F1100000}"/>
    <cellStyle name="Обычный 3 12" xfId="4338" xr:uid="{00000000-0005-0000-0000-0000F2100000}"/>
    <cellStyle name="Обычный 3 13" xfId="4339" xr:uid="{00000000-0005-0000-0000-0000F3100000}"/>
    <cellStyle name="Обычный 3 14" xfId="4340" xr:uid="{00000000-0005-0000-0000-0000F4100000}"/>
    <cellStyle name="Обычный 3 15" xfId="4341" xr:uid="{00000000-0005-0000-0000-0000F5100000}"/>
    <cellStyle name="Обычный 3 16" xfId="4342" xr:uid="{00000000-0005-0000-0000-0000F6100000}"/>
    <cellStyle name="Обычный 3 17" xfId="4343" xr:uid="{00000000-0005-0000-0000-0000F7100000}"/>
    <cellStyle name="Обычный 3 18" xfId="4344" xr:uid="{00000000-0005-0000-0000-0000F8100000}"/>
    <cellStyle name="Обычный 3 19" xfId="4345" xr:uid="{00000000-0005-0000-0000-0000F9100000}"/>
    <cellStyle name="Обычный 3 2" xfId="4346" xr:uid="{00000000-0005-0000-0000-0000FA100000}"/>
    <cellStyle name="Обычный 3 2 2" xfId="4347" xr:uid="{00000000-0005-0000-0000-0000FB100000}"/>
    <cellStyle name="Обычный 3 2 2 10" xfId="4348" xr:uid="{00000000-0005-0000-0000-0000FC100000}"/>
    <cellStyle name="Обычный 3 2 2 10 2" xfId="4349" xr:uid="{00000000-0005-0000-0000-0000FD100000}"/>
    <cellStyle name="Обычный 3 2 2 10 2 2" xfId="4350" xr:uid="{00000000-0005-0000-0000-0000FE100000}"/>
    <cellStyle name="Обычный 3 2 2 10 2 3" xfId="4351" xr:uid="{00000000-0005-0000-0000-0000FF100000}"/>
    <cellStyle name="Обычный 3 2 2 10 3" xfId="4352" xr:uid="{00000000-0005-0000-0000-000000110000}"/>
    <cellStyle name="Обычный 3 2 2 10 3 2" xfId="4353" xr:uid="{00000000-0005-0000-0000-000001110000}"/>
    <cellStyle name="Обычный 3 2 2 10 4" xfId="4354" xr:uid="{00000000-0005-0000-0000-000002110000}"/>
    <cellStyle name="Обычный 3 2 2 10 5" xfId="4355" xr:uid="{00000000-0005-0000-0000-000003110000}"/>
    <cellStyle name="Обычный 3 2 2 11" xfId="4356" xr:uid="{00000000-0005-0000-0000-000004110000}"/>
    <cellStyle name="Обычный 3 2 2 12" xfId="4357" xr:uid="{00000000-0005-0000-0000-000005110000}"/>
    <cellStyle name="Обычный 3 2 2 12 2" xfId="4358" xr:uid="{00000000-0005-0000-0000-000006110000}"/>
    <cellStyle name="Обычный 3 2 2 12 3" xfId="4359" xr:uid="{00000000-0005-0000-0000-000007110000}"/>
    <cellStyle name="Обычный 3 2 2 13" xfId="4360" xr:uid="{00000000-0005-0000-0000-000008110000}"/>
    <cellStyle name="Обычный 3 2 2 13 2" xfId="4361" xr:uid="{00000000-0005-0000-0000-000009110000}"/>
    <cellStyle name="Обычный 3 2 2 14" xfId="4362" xr:uid="{00000000-0005-0000-0000-00000A110000}"/>
    <cellStyle name="Обычный 3 2 2 15" xfId="4363" xr:uid="{00000000-0005-0000-0000-00000B110000}"/>
    <cellStyle name="Обычный 3 2 2 16" xfId="4364" xr:uid="{00000000-0005-0000-0000-00000C110000}"/>
    <cellStyle name="Обычный 3 2 2 17" xfId="4365" xr:uid="{00000000-0005-0000-0000-00000D110000}"/>
    <cellStyle name="Обычный 3 2 2 2" xfId="4366" xr:uid="{00000000-0005-0000-0000-00000E110000}"/>
    <cellStyle name="Обычный 3 2 2 2 2" xfId="4367" xr:uid="{00000000-0005-0000-0000-00000F110000}"/>
    <cellStyle name="Обычный 3 2 2 2 2 2" xfId="4368" xr:uid="{00000000-0005-0000-0000-000010110000}"/>
    <cellStyle name="Обычный 3 2 2 2 2 2 2" xfId="4369" xr:uid="{00000000-0005-0000-0000-000011110000}"/>
    <cellStyle name="Обычный 3 2 2 2 2 2 3" xfId="4370" xr:uid="{00000000-0005-0000-0000-000012110000}"/>
    <cellStyle name="Обычный 3 2 2 2 2 3" xfId="4371" xr:uid="{00000000-0005-0000-0000-000013110000}"/>
    <cellStyle name="Обычный 3 2 2 2 2 3 2" xfId="4372" xr:uid="{00000000-0005-0000-0000-000014110000}"/>
    <cellStyle name="Обычный 3 2 2 2 2 4" xfId="4373" xr:uid="{00000000-0005-0000-0000-000015110000}"/>
    <cellStyle name="Обычный 3 2 2 2 2 5" xfId="4374" xr:uid="{00000000-0005-0000-0000-000016110000}"/>
    <cellStyle name="Обычный 3 2 2 2 3" xfId="4375" xr:uid="{00000000-0005-0000-0000-000017110000}"/>
    <cellStyle name="Обычный 3 2 2 2 3 2" xfId="4376" xr:uid="{00000000-0005-0000-0000-000018110000}"/>
    <cellStyle name="Обычный 3 2 2 2 3 3" xfId="4377" xr:uid="{00000000-0005-0000-0000-000019110000}"/>
    <cellStyle name="Обычный 3 2 2 2 4" xfId="4378" xr:uid="{00000000-0005-0000-0000-00001A110000}"/>
    <cellStyle name="Обычный 3 2 2 2 4 2" xfId="4379" xr:uid="{00000000-0005-0000-0000-00001B110000}"/>
    <cellStyle name="Обычный 3 2 2 2 5" xfId="4380" xr:uid="{00000000-0005-0000-0000-00001C110000}"/>
    <cellStyle name="Обычный 3 2 2 2 6" xfId="4381" xr:uid="{00000000-0005-0000-0000-00001D110000}"/>
    <cellStyle name="Обычный 3 2 2 2 7" xfId="4382" xr:uid="{00000000-0005-0000-0000-00001E110000}"/>
    <cellStyle name="Обычный 3 2 2 3" xfId="4383" xr:uid="{00000000-0005-0000-0000-00001F110000}"/>
    <cellStyle name="Обычный 3 2 2 3 2" xfId="4384" xr:uid="{00000000-0005-0000-0000-000020110000}"/>
    <cellStyle name="Обычный 3 2 2 3 2 2" xfId="4385" xr:uid="{00000000-0005-0000-0000-000021110000}"/>
    <cellStyle name="Обычный 3 2 2 3 2 2 2" xfId="4386" xr:uid="{00000000-0005-0000-0000-000022110000}"/>
    <cellStyle name="Обычный 3 2 2 3 2 2 3" xfId="4387" xr:uid="{00000000-0005-0000-0000-000023110000}"/>
    <cellStyle name="Обычный 3 2 2 3 2 3" xfId="4388" xr:uid="{00000000-0005-0000-0000-000024110000}"/>
    <cellStyle name="Обычный 3 2 2 3 2 3 2" xfId="4389" xr:uid="{00000000-0005-0000-0000-000025110000}"/>
    <cellStyle name="Обычный 3 2 2 3 2 4" xfId="4390" xr:uid="{00000000-0005-0000-0000-000026110000}"/>
    <cellStyle name="Обычный 3 2 2 3 2 5" xfId="4391" xr:uid="{00000000-0005-0000-0000-000027110000}"/>
    <cellStyle name="Обычный 3 2 2 3 3" xfId="4392" xr:uid="{00000000-0005-0000-0000-000028110000}"/>
    <cellStyle name="Обычный 3 2 2 3 3 2" xfId="4393" xr:uid="{00000000-0005-0000-0000-000029110000}"/>
    <cellStyle name="Обычный 3 2 2 3 3 3" xfId="4394" xr:uid="{00000000-0005-0000-0000-00002A110000}"/>
    <cellStyle name="Обычный 3 2 2 3 4" xfId="4395" xr:uid="{00000000-0005-0000-0000-00002B110000}"/>
    <cellStyle name="Обычный 3 2 2 3 4 2" xfId="4396" xr:uid="{00000000-0005-0000-0000-00002C110000}"/>
    <cellStyle name="Обычный 3 2 2 3 5" xfId="4397" xr:uid="{00000000-0005-0000-0000-00002D110000}"/>
    <cellStyle name="Обычный 3 2 2 3 6" xfId="4398" xr:uid="{00000000-0005-0000-0000-00002E110000}"/>
    <cellStyle name="Обычный 3 2 2 4" xfId="4399" xr:uid="{00000000-0005-0000-0000-00002F110000}"/>
    <cellStyle name="Обычный 3 2 2 4 2" xfId="4400" xr:uid="{00000000-0005-0000-0000-000030110000}"/>
    <cellStyle name="Обычный 3 2 2 4 2 2" xfId="4401" xr:uid="{00000000-0005-0000-0000-000031110000}"/>
    <cellStyle name="Обычный 3 2 2 4 2 2 2" xfId="4402" xr:uid="{00000000-0005-0000-0000-000032110000}"/>
    <cellStyle name="Обычный 3 2 2 4 2 2 3" xfId="4403" xr:uid="{00000000-0005-0000-0000-000033110000}"/>
    <cellStyle name="Обычный 3 2 2 4 2 3" xfId="4404" xr:uid="{00000000-0005-0000-0000-000034110000}"/>
    <cellStyle name="Обычный 3 2 2 4 2 3 2" xfId="4405" xr:uid="{00000000-0005-0000-0000-000035110000}"/>
    <cellStyle name="Обычный 3 2 2 4 2 4" xfId="4406" xr:uid="{00000000-0005-0000-0000-000036110000}"/>
    <cellStyle name="Обычный 3 2 2 4 2 5" xfId="4407" xr:uid="{00000000-0005-0000-0000-000037110000}"/>
    <cellStyle name="Обычный 3 2 2 4 3" xfId="4408" xr:uid="{00000000-0005-0000-0000-000038110000}"/>
    <cellStyle name="Обычный 3 2 2 4 3 2" xfId="4409" xr:uid="{00000000-0005-0000-0000-000039110000}"/>
    <cellStyle name="Обычный 3 2 2 4 3 3" xfId="4410" xr:uid="{00000000-0005-0000-0000-00003A110000}"/>
    <cellStyle name="Обычный 3 2 2 4 4" xfId="4411" xr:uid="{00000000-0005-0000-0000-00003B110000}"/>
    <cellStyle name="Обычный 3 2 2 4 4 2" xfId="4412" xr:uid="{00000000-0005-0000-0000-00003C110000}"/>
    <cellStyle name="Обычный 3 2 2 4 5" xfId="4413" xr:uid="{00000000-0005-0000-0000-00003D110000}"/>
    <cellStyle name="Обычный 3 2 2 4 6" xfId="4414" xr:uid="{00000000-0005-0000-0000-00003E110000}"/>
    <cellStyle name="Обычный 3 2 2 5" xfId="4415" xr:uid="{00000000-0005-0000-0000-00003F110000}"/>
    <cellStyle name="Обычный 3 2 2 5 2" xfId="4416" xr:uid="{00000000-0005-0000-0000-000040110000}"/>
    <cellStyle name="Обычный 3 2 2 5 2 2" xfId="4417" xr:uid="{00000000-0005-0000-0000-000041110000}"/>
    <cellStyle name="Обычный 3 2 2 5 2 2 2" xfId="4418" xr:uid="{00000000-0005-0000-0000-000042110000}"/>
    <cellStyle name="Обычный 3 2 2 5 2 2 3" xfId="4419" xr:uid="{00000000-0005-0000-0000-000043110000}"/>
    <cellStyle name="Обычный 3 2 2 5 2 3" xfId="4420" xr:uid="{00000000-0005-0000-0000-000044110000}"/>
    <cellStyle name="Обычный 3 2 2 5 2 3 2" xfId="4421" xr:uid="{00000000-0005-0000-0000-000045110000}"/>
    <cellStyle name="Обычный 3 2 2 5 2 4" xfId="4422" xr:uid="{00000000-0005-0000-0000-000046110000}"/>
    <cellStyle name="Обычный 3 2 2 5 2 5" xfId="4423" xr:uid="{00000000-0005-0000-0000-000047110000}"/>
    <cellStyle name="Обычный 3 2 2 5 3" xfId="4424" xr:uid="{00000000-0005-0000-0000-000048110000}"/>
    <cellStyle name="Обычный 3 2 2 5 3 2" xfId="4425" xr:uid="{00000000-0005-0000-0000-000049110000}"/>
    <cellStyle name="Обычный 3 2 2 5 3 3" xfId="4426" xr:uid="{00000000-0005-0000-0000-00004A110000}"/>
    <cellStyle name="Обычный 3 2 2 5 4" xfId="4427" xr:uid="{00000000-0005-0000-0000-00004B110000}"/>
    <cellStyle name="Обычный 3 2 2 5 4 2" xfId="4428" xr:uid="{00000000-0005-0000-0000-00004C110000}"/>
    <cellStyle name="Обычный 3 2 2 5 5" xfId="4429" xr:uid="{00000000-0005-0000-0000-00004D110000}"/>
    <cellStyle name="Обычный 3 2 2 5 6" xfId="4430" xr:uid="{00000000-0005-0000-0000-00004E110000}"/>
    <cellStyle name="Обычный 3 2 2 6" xfId="4431" xr:uid="{00000000-0005-0000-0000-00004F110000}"/>
    <cellStyle name="Обычный 3 2 2 6 2" xfId="4432" xr:uid="{00000000-0005-0000-0000-000050110000}"/>
    <cellStyle name="Обычный 3 2 2 6 2 2" xfId="4433" xr:uid="{00000000-0005-0000-0000-000051110000}"/>
    <cellStyle name="Обычный 3 2 2 6 2 3" xfId="4434" xr:uid="{00000000-0005-0000-0000-000052110000}"/>
    <cellStyle name="Обычный 3 2 2 6 3" xfId="4435" xr:uid="{00000000-0005-0000-0000-000053110000}"/>
    <cellStyle name="Обычный 3 2 2 6 3 2" xfId="4436" xr:uid="{00000000-0005-0000-0000-000054110000}"/>
    <cellStyle name="Обычный 3 2 2 6 4" xfId="4437" xr:uid="{00000000-0005-0000-0000-000055110000}"/>
    <cellStyle name="Обычный 3 2 2 6 5" xfId="4438" xr:uid="{00000000-0005-0000-0000-000056110000}"/>
    <cellStyle name="Обычный 3 2 2 7" xfId="4439" xr:uid="{00000000-0005-0000-0000-000057110000}"/>
    <cellStyle name="Обычный 3 2 2 7 2" xfId="4440" xr:uid="{00000000-0005-0000-0000-000058110000}"/>
    <cellStyle name="Обычный 3 2 2 7 2 2" xfId="4441" xr:uid="{00000000-0005-0000-0000-000059110000}"/>
    <cellStyle name="Обычный 3 2 2 7 2 3" xfId="4442" xr:uid="{00000000-0005-0000-0000-00005A110000}"/>
    <cellStyle name="Обычный 3 2 2 7 3" xfId="4443" xr:uid="{00000000-0005-0000-0000-00005B110000}"/>
    <cellStyle name="Обычный 3 2 2 7 3 2" xfId="4444" xr:uid="{00000000-0005-0000-0000-00005C110000}"/>
    <cellStyle name="Обычный 3 2 2 7 4" xfId="4445" xr:uid="{00000000-0005-0000-0000-00005D110000}"/>
    <cellStyle name="Обычный 3 2 2 7 5" xfId="4446" xr:uid="{00000000-0005-0000-0000-00005E110000}"/>
    <cellStyle name="Обычный 3 2 2 8" xfId="4447" xr:uid="{00000000-0005-0000-0000-00005F110000}"/>
    <cellStyle name="Обычный 3 2 2 8 2" xfId="4448" xr:uid="{00000000-0005-0000-0000-000060110000}"/>
    <cellStyle name="Обычный 3 2 2 8 2 2" xfId="4449" xr:uid="{00000000-0005-0000-0000-000061110000}"/>
    <cellStyle name="Обычный 3 2 2 8 2 3" xfId="4450" xr:uid="{00000000-0005-0000-0000-000062110000}"/>
    <cellStyle name="Обычный 3 2 2 8 3" xfId="4451" xr:uid="{00000000-0005-0000-0000-000063110000}"/>
    <cellStyle name="Обычный 3 2 2 8 3 2" xfId="4452" xr:uid="{00000000-0005-0000-0000-000064110000}"/>
    <cellStyle name="Обычный 3 2 2 8 4" xfId="4453" xr:uid="{00000000-0005-0000-0000-000065110000}"/>
    <cellStyle name="Обычный 3 2 2 8 5" xfId="4454" xr:uid="{00000000-0005-0000-0000-000066110000}"/>
    <cellStyle name="Обычный 3 2 2 9" xfId="4455" xr:uid="{00000000-0005-0000-0000-000067110000}"/>
    <cellStyle name="Обычный 3 2 2 9 2" xfId="4456" xr:uid="{00000000-0005-0000-0000-000068110000}"/>
    <cellStyle name="Обычный 3 2 2 9 2 2" xfId="4457" xr:uid="{00000000-0005-0000-0000-000069110000}"/>
    <cellStyle name="Обычный 3 2 2 9 2 3" xfId="4458" xr:uid="{00000000-0005-0000-0000-00006A110000}"/>
    <cellStyle name="Обычный 3 2 2 9 3" xfId="4459" xr:uid="{00000000-0005-0000-0000-00006B110000}"/>
    <cellStyle name="Обычный 3 2 2 9 3 2" xfId="4460" xr:uid="{00000000-0005-0000-0000-00006C110000}"/>
    <cellStyle name="Обычный 3 2 2 9 4" xfId="4461" xr:uid="{00000000-0005-0000-0000-00006D110000}"/>
    <cellStyle name="Обычный 3 2 2 9 5" xfId="4462" xr:uid="{00000000-0005-0000-0000-00006E110000}"/>
    <cellStyle name="Обычный 3 2 3" xfId="4463" xr:uid="{00000000-0005-0000-0000-00006F110000}"/>
    <cellStyle name="Обычный 3 2 3 2" xfId="4464" xr:uid="{00000000-0005-0000-0000-000070110000}"/>
    <cellStyle name="Обычный 3 2 3 3" xfId="4465" xr:uid="{00000000-0005-0000-0000-000071110000}"/>
    <cellStyle name="Обычный 3 2 3 3 2" xfId="4466" xr:uid="{00000000-0005-0000-0000-000072110000}"/>
    <cellStyle name="Обычный 3 2 3 3 2 2" xfId="4467" xr:uid="{00000000-0005-0000-0000-000073110000}"/>
    <cellStyle name="Обычный 3 2 3 3 2 3" xfId="4468" xr:uid="{00000000-0005-0000-0000-000074110000}"/>
    <cellStyle name="Обычный 3 2 3 3 3" xfId="4469" xr:uid="{00000000-0005-0000-0000-000075110000}"/>
    <cellStyle name="Обычный 3 2 3 3 3 2" xfId="4470" xr:uid="{00000000-0005-0000-0000-000076110000}"/>
    <cellStyle name="Обычный 3 2 3 3 4" xfId="4471" xr:uid="{00000000-0005-0000-0000-000077110000}"/>
    <cellStyle name="Обычный 3 2 3 3 5" xfId="4472" xr:uid="{00000000-0005-0000-0000-000078110000}"/>
    <cellStyle name="Обычный 3 2 3 4" xfId="4473" xr:uid="{00000000-0005-0000-0000-000079110000}"/>
    <cellStyle name="Обычный 3 2 3 4 2" xfId="4474" xr:uid="{00000000-0005-0000-0000-00007A110000}"/>
    <cellStyle name="Обычный 3 2 3 4 2 2" xfId="4475" xr:uid="{00000000-0005-0000-0000-00007B110000}"/>
    <cellStyle name="Обычный 3 2 3 4 3" xfId="4476" xr:uid="{00000000-0005-0000-0000-00007C110000}"/>
    <cellStyle name="Обычный 3 2 3 4 4" xfId="4477" xr:uid="{00000000-0005-0000-0000-00007D110000}"/>
    <cellStyle name="Обычный 3 2 3 5" xfId="4478" xr:uid="{00000000-0005-0000-0000-00007E110000}"/>
    <cellStyle name="Обычный 3 2 4" xfId="4479" xr:uid="{00000000-0005-0000-0000-00007F110000}"/>
    <cellStyle name="Обычный 3 2 4 2" xfId="4480" xr:uid="{00000000-0005-0000-0000-000080110000}"/>
    <cellStyle name="Обычный 3 2 4 3" xfId="4481" xr:uid="{00000000-0005-0000-0000-000081110000}"/>
    <cellStyle name="Обычный 3 2 4 3 2" xfId="4482" xr:uid="{00000000-0005-0000-0000-000082110000}"/>
    <cellStyle name="Обычный 3 2 4 3 2 2" xfId="4483" xr:uid="{00000000-0005-0000-0000-000083110000}"/>
    <cellStyle name="Обычный 3 2 4 3 2 3" xfId="4484" xr:uid="{00000000-0005-0000-0000-000084110000}"/>
    <cellStyle name="Обычный 3 2 4 3 3" xfId="4485" xr:uid="{00000000-0005-0000-0000-000085110000}"/>
    <cellStyle name="Обычный 3 2 4 3 3 2" xfId="4486" xr:uid="{00000000-0005-0000-0000-000086110000}"/>
    <cellStyle name="Обычный 3 2 4 3 4" xfId="4487" xr:uid="{00000000-0005-0000-0000-000087110000}"/>
    <cellStyle name="Обычный 3 2 4 3 5" xfId="4488" xr:uid="{00000000-0005-0000-0000-000088110000}"/>
    <cellStyle name="Обычный 3 2 4 4" xfId="4489" xr:uid="{00000000-0005-0000-0000-000089110000}"/>
    <cellStyle name="Обычный 3 2 4 4 2" xfId="4490" xr:uid="{00000000-0005-0000-0000-00008A110000}"/>
    <cellStyle name="Обычный 3 2 4 4 2 2" xfId="4491" xr:uid="{00000000-0005-0000-0000-00008B110000}"/>
    <cellStyle name="Обычный 3 2 4 4 3" xfId="4492" xr:uid="{00000000-0005-0000-0000-00008C110000}"/>
    <cellStyle name="Обычный 3 2 4 4 4" xfId="4493" xr:uid="{00000000-0005-0000-0000-00008D110000}"/>
    <cellStyle name="Обычный 3 2 4 5" xfId="4494" xr:uid="{00000000-0005-0000-0000-00008E110000}"/>
    <cellStyle name="Обычный 3 2 4 6" xfId="4495" xr:uid="{00000000-0005-0000-0000-00008F110000}"/>
    <cellStyle name="Обычный 3 2 5" xfId="4496" xr:uid="{00000000-0005-0000-0000-000090110000}"/>
    <cellStyle name="Обычный 3 2 5 2" xfId="4497" xr:uid="{00000000-0005-0000-0000-000091110000}"/>
    <cellStyle name="Обычный 3 2 5 2 2" xfId="4498" xr:uid="{00000000-0005-0000-0000-000092110000}"/>
    <cellStyle name="Обычный 3 2 5 2 2 2" xfId="4499" xr:uid="{00000000-0005-0000-0000-000093110000}"/>
    <cellStyle name="Обычный 3 2 5 2 2 3" xfId="4500" xr:uid="{00000000-0005-0000-0000-000094110000}"/>
    <cellStyle name="Обычный 3 2 5 2 3" xfId="4501" xr:uid="{00000000-0005-0000-0000-000095110000}"/>
    <cellStyle name="Обычный 3 2 5 2 3 2" xfId="4502" xr:uid="{00000000-0005-0000-0000-000096110000}"/>
    <cellStyle name="Обычный 3 2 5 2 4" xfId="4503" xr:uid="{00000000-0005-0000-0000-000097110000}"/>
    <cellStyle name="Обычный 3 2 5 2 5" xfId="4504" xr:uid="{00000000-0005-0000-0000-000098110000}"/>
    <cellStyle name="Обычный 3 2 5 3" xfId="4505" xr:uid="{00000000-0005-0000-0000-000099110000}"/>
    <cellStyle name="Обычный 3 2 5 3 2" xfId="4506" xr:uid="{00000000-0005-0000-0000-00009A110000}"/>
    <cellStyle name="Обычный 3 2 5 3 3" xfId="4507" xr:uid="{00000000-0005-0000-0000-00009B110000}"/>
    <cellStyle name="Обычный 3 2 5 4" xfId="4508" xr:uid="{00000000-0005-0000-0000-00009C110000}"/>
    <cellStyle name="Обычный 3 2 5 4 2" xfId="4509" xr:uid="{00000000-0005-0000-0000-00009D110000}"/>
    <cellStyle name="Обычный 3 2 5 5" xfId="4510" xr:uid="{00000000-0005-0000-0000-00009E110000}"/>
    <cellStyle name="Обычный 3 2 5 6" xfId="4511" xr:uid="{00000000-0005-0000-0000-00009F110000}"/>
    <cellStyle name="Обычный 3 2 6" xfId="4512" xr:uid="{00000000-0005-0000-0000-0000A0110000}"/>
    <cellStyle name="Обычный 3 2 6 2" xfId="4513" xr:uid="{00000000-0005-0000-0000-0000A1110000}"/>
    <cellStyle name="Обычный 3 2 6 2 2" xfId="4514" xr:uid="{00000000-0005-0000-0000-0000A2110000}"/>
    <cellStyle name="Обычный 3 2 6 2 3" xfId="4515" xr:uid="{00000000-0005-0000-0000-0000A3110000}"/>
    <cellStyle name="Обычный 3 2 6 3" xfId="4516" xr:uid="{00000000-0005-0000-0000-0000A4110000}"/>
    <cellStyle name="Обычный 3 2 6 3 2" xfId="4517" xr:uid="{00000000-0005-0000-0000-0000A5110000}"/>
    <cellStyle name="Обычный 3 2 6 4" xfId="4518" xr:uid="{00000000-0005-0000-0000-0000A6110000}"/>
    <cellStyle name="Обычный 3 2 6 5" xfId="4519" xr:uid="{00000000-0005-0000-0000-0000A7110000}"/>
    <cellStyle name="Обычный 3 2 7" xfId="4520" xr:uid="{00000000-0005-0000-0000-0000A8110000}"/>
    <cellStyle name="Обычный 3 2 7 2" xfId="4521" xr:uid="{00000000-0005-0000-0000-0000A9110000}"/>
    <cellStyle name="Обычный 3 2 7 2 2" xfId="4522" xr:uid="{00000000-0005-0000-0000-0000AA110000}"/>
    <cellStyle name="Обычный 3 2 7 2 3" xfId="4523" xr:uid="{00000000-0005-0000-0000-0000AB110000}"/>
    <cellStyle name="Обычный 3 2 7 3" xfId="4524" xr:uid="{00000000-0005-0000-0000-0000AC110000}"/>
    <cellStyle name="Обычный 3 2 7 3 2" xfId="4525" xr:uid="{00000000-0005-0000-0000-0000AD110000}"/>
    <cellStyle name="Обычный 3 2 7 4" xfId="4526" xr:uid="{00000000-0005-0000-0000-0000AE110000}"/>
    <cellStyle name="Обычный 3 2 7 5" xfId="4527" xr:uid="{00000000-0005-0000-0000-0000AF110000}"/>
    <cellStyle name="Обычный 3 20" xfId="4528" xr:uid="{00000000-0005-0000-0000-0000B0110000}"/>
    <cellStyle name="Обычный 3 21" xfId="4529" xr:uid="{00000000-0005-0000-0000-0000B1110000}"/>
    <cellStyle name="Обычный 3 3" xfId="4530" xr:uid="{00000000-0005-0000-0000-0000B2110000}"/>
    <cellStyle name="Обычный 3 3 2" xfId="4531" xr:uid="{00000000-0005-0000-0000-0000B3110000}"/>
    <cellStyle name="Обычный 3 3 2 2" xfId="4532" xr:uid="{00000000-0005-0000-0000-0000B4110000}"/>
    <cellStyle name="Обычный 3 4" xfId="4533" xr:uid="{00000000-0005-0000-0000-0000B5110000}"/>
    <cellStyle name="Обычный 3 4 2" xfId="4534" xr:uid="{00000000-0005-0000-0000-0000B6110000}"/>
    <cellStyle name="Обычный 3 4 2 2" xfId="4535" xr:uid="{00000000-0005-0000-0000-0000B7110000}"/>
    <cellStyle name="Обычный 3 4 2 3" xfId="4536" xr:uid="{00000000-0005-0000-0000-0000B8110000}"/>
    <cellStyle name="Обычный 3 4 3" xfId="4537" xr:uid="{00000000-0005-0000-0000-0000B9110000}"/>
    <cellStyle name="Обычный 3 5" xfId="4538" xr:uid="{00000000-0005-0000-0000-0000BA110000}"/>
    <cellStyle name="Обычный 3 5 2" xfId="4539" xr:uid="{00000000-0005-0000-0000-0000BB110000}"/>
    <cellStyle name="Обычный 3 5 2 2" xfId="4540" xr:uid="{00000000-0005-0000-0000-0000BC110000}"/>
    <cellStyle name="Обычный 3 5 3" xfId="4541" xr:uid="{00000000-0005-0000-0000-0000BD110000}"/>
    <cellStyle name="Обычный 3 6" xfId="4542" xr:uid="{00000000-0005-0000-0000-0000BE110000}"/>
    <cellStyle name="Обычный 3 6 2" xfId="4543" xr:uid="{00000000-0005-0000-0000-0000BF110000}"/>
    <cellStyle name="Обычный 3 6 3" xfId="4544" xr:uid="{00000000-0005-0000-0000-0000C0110000}"/>
    <cellStyle name="Обычный 3 7" xfId="4545" xr:uid="{00000000-0005-0000-0000-0000C1110000}"/>
    <cellStyle name="Обычный 3 8" xfId="4546" xr:uid="{00000000-0005-0000-0000-0000C2110000}"/>
    <cellStyle name="Обычный 3 9" xfId="4547" xr:uid="{00000000-0005-0000-0000-0000C3110000}"/>
    <cellStyle name="Обычный 3_2355 Голубева" xfId="4548" xr:uid="{00000000-0005-0000-0000-0000C4110000}"/>
    <cellStyle name="Обычный 30" xfId="4549" xr:uid="{00000000-0005-0000-0000-0000C5110000}"/>
    <cellStyle name="Обычный 30 2" xfId="4550" xr:uid="{00000000-0005-0000-0000-0000C6110000}"/>
    <cellStyle name="Обычный 30 2 2" xfId="4551" xr:uid="{00000000-0005-0000-0000-0000C7110000}"/>
    <cellStyle name="Обычный 30 2 3" xfId="4552" xr:uid="{00000000-0005-0000-0000-0000C8110000}"/>
    <cellStyle name="Обычный 30 2 4" xfId="4553" xr:uid="{00000000-0005-0000-0000-0000C9110000}"/>
    <cellStyle name="Обычный 30 3" xfId="4554" xr:uid="{00000000-0005-0000-0000-0000CA110000}"/>
    <cellStyle name="Обычный 30 3 2" xfId="4555" xr:uid="{00000000-0005-0000-0000-0000CB110000}"/>
    <cellStyle name="Обычный 30 4" xfId="4556" xr:uid="{00000000-0005-0000-0000-0000CC110000}"/>
    <cellStyle name="Обычный 30 5" xfId="4557" xr:uid="{00000000-0005-0000-0000-0000CD110000}"/>
    <cellStyle name="Обычный 301" xfId="4558" xr:uid="{00000000-0005-0000-0000-0000CE110000}"/>
    <cellStyle name="Обычный 302" xfId="4559" xr:uid="{00000000-0005-0000-0000-0000CF110000}"/>
    <cellStyle name="Обычный 304" xfId="4560" xr:uid="{00000000-0005-0000-0000-0000D0110000}"/>
    <cellStyle name="Обычный 305" xfId="4561" xr:uid="{00000000-0005-0000-0000-0000D1110000}"/>
    <cellStyle name="Обычный 31" xfId="4562" xr:uid="{00000000-0005-0000-0000-0000D2110000}"/>
    <cellStyle name="Обычный 31 2" xfId="4563" xr:uid="{00000000-0005-0000-0000-0000D3110000}"/>
    <cellStyle name="Обычный 31 2 2" xfId="4564" xr:uid="{00000000-0005-0000-0000-0000D4110000}"/>
    <cellStyle name="Обычный 31 2 2 2" xfId="4565" xr:uid="{00000000-0005-0000-0000-0000D5110000}"/>
    <cellStyle name="Обычный 31 2 3" xfId="4566" xr:uid="{00000000-0005-0000-0000-0000D6110000}"/>
    <cellStyle name="Обычный 31 2 4" xfId="4567" xr:uid="{00000000-0005-0000-0000-0000D7110000}"/>
    <cellStyle name="Обычный 31 2 5" xfId="4568" xr:uid="{00000000-0005-0000-0000-0000D8110000}"/>
    <cellStyle name="Обычный 31 3" xfId="4569" xr:uid="{00000000-0005-0000-0000-0000D9110000}"/>
    <cellStyle name="Обычный 31 3 2" xfId="4570" xr:uid="{00000000-0005-0000-0000-0000DA110000}"/>
    <cellStyle name="Обычный 31 4" xfId="4571" xr:uid="{00000000-0005-0000-0000-0000DB110000}"/>
    <cellStyle name="Обычный 31 5" xfId="4572" xr:uid="{00000000-0005-0000-0000-0000DC110000}"/>
    <cellStyle name="Обычный 310" xfId="4573" xr:uid="{00000000-0005-0000-0000-0000DD110000}"/>
    <cellStyle name="Обычный 311" xfId="4574" xr:uid="{00000000-0005-0000-0000-0000DE110000}"/>
    <cellStyle name="Обычный 312" xfId="4575" xr:uid="{00000000-0005-0000-0000-0000DF110000}"/>
    <cellStyle name="Обычный 313" xfId="4576" xr:uid="{00000000-0005-0000-0000-0000E0110000}"/>
    <cellStyle name="Обычный 314" xfId="4577" xr:uid="{00000000-0005-0000-0000-0000E1110000}"/>
    <cellStyle name="Обычный 315" xfId="4578" xr:uid="{00000000-0005-0000-0000-0000E2110000}"/>
    <cellStyle name="Обычный 317" xfId="4579" xr:uid="{00000000-0005-0000-0000-0000E3110000}"/>
    <cellStyle name="Обычный 318" xfId="4580" xr:uid="{00000000-0005-0000-0000-0000E4110000}"/>
    <cellStyle name="Обычный 32" xfId="4581" xr:uid="{00000000-0005-0000-0000-0000E5110000}"/>
    <cellStyle name="Обычный 32 2" xfId="4582" xr:uid="{00000000-0005-0000-0000-0000E6110000}"/>
    <cellStyle name="Обычный 32 2 2" xfId="4583" xr:uid="{00000000-0005-0000-0000-0000E7110000}"/>
    <cellStyle name="Обычный 32 3" xfId="4584" xr:uid="{00000000-0005-0000-0000-0000E8110000}"/>
    <cellStyle name="Обычный 32 4" xfId="4585" xr:uid="{00000000-0005-0000-0000-0000E9110000}"/>
    <cellStyle name="Обычный 321" xfId="4586" xr:uid="{00000000-0005-0000-0000-0000EA110000}"/>
    <cellStyle name="Обычный 322" xfId="4587" xr:uid="{00000000-0005-0000-0000-0000EB110000}"/>
    <cellStyle name="Обычный 324" xfId="4588" xr:uid="{00000000-0005-0000-0000-0000EC110000}"/>
    <cellStyle name="Обычный 325" xfId="4589" xr:uid="{00000000-0005-0000-0000-0000ED110000}"/>
    <cellStyle name="Обычный 326" xfId="4590" xr:uid="{00000000-0005-0000-0000-0000EE110000}"/>
    <cellStyle name="Обычный 33" xfId="4591" xr:uid="{00000000-0005-0000-0000-0000EF110000}"/>
    <cellStyle name="Обычный 33 2" xfId="4592" xr:uid="{00000000-0005-0000-0000-0000F0110000}"/>
    <cellStyle name="Обычный 33 2 2" xfId="4593" xr:uid="{00000000-0005-0000-0000-0000F1110000}"/>
    <cellStyle name="Обычный 33 3" xfId="4594" xr:uid="{00000000-0005-0000-0000-0000F2110000}"/>
    <cellStyle name="Обычный 33 4" xfId="4595" xr:uid="{00000000-0005-0000-0000-0000F3110000}"/>
    <cellStyle name="Обычный 33 5" xfId="4596" xr:uid="{00000000-0005-0000-0000-0000F4110000}"/>
    <cellStyle name="Обычный 330" xfId="4597" xr:uid="{00000000-0005-0000-0000-0000F5110000}"/>
    <cellStyle name="Обычный 332" xfId="4598" xr:uid="{00000000-0005-0000-0000-0000F6110000}"/>
    <cellStyle name="Обычный 335" xfId="4599" xr:uid="{00000000-0005-0000-0000-0000F7110000}"/>
    <cellStyle name="Обычный 337" xfId="4600" xr:uid="{00000000-0005-0000-0000-0000F8110000}"/>
    <cellStyle name="Обычный 339" xfId="4601" xr:uid="{00000000-0005-0000-0000-0000F9110000}"/>
    <cellStyle name="Обычный 34" xfId="4602" xr:uid="{00000000-0005-0000-0000-0000FA110000}"/>
    <cellStyle name="Обычный 34 2" xfId="4603" xr:uid="{00000000-0005-0000-0000-0000FB110000}"/>
    <cellStyle name="Обычный 34 3" xfId="4604" xr:uid="{00000000-0005-0000-0000-0000FC110000}"/>
    <cellStyle name="Обычный 343" xfId="4605" xr:uid="{00000000-0005-0000-0000-0000FD110000}"/>
    <cellStyle name="Обычный 344" xfId="4606" xr:uid="{00000000-0005-0000-0000-0000FE110000}"/>
    <cellStyle name="Обычный 345" xfId="4607" xr:uid="{00000000-0005-0000-0000-0000FF110000}"/>
    <cellStyle name="Обычный 346" xfId="4608" xr:uid="{00000000-0005-0000-0000-000000120000}"/>
    <cellStyle name="Обычный 349" xfId="4609" xr:uid="{00000000-0005-0000-0000-000001120000}"/>
    <cellStyle name="Обычный 35" xfId="4610" xr:uid="{00000000-0005-0000-0000-000002120000}"/>
    <cellStyle name="Обычный 35 2" xfId="4611" xr:uid="{00000000-0005-0000-0000-000003120000}"/>
    <cellStyle name="Обычный 351" xfId="4612" xr:uid="{00000000-0005-0000-0000-000004120000}"/>
    <cellStyle name="Обычный 353" xfId="4613" xr:uid="{00000000-0005-0000-0000-000005120000}"/>
    <cellStyle name="Обычный 354" xfId="4614" xr:uid="{00000000-0005-0000-0000-000006120000}"/>
    <cellStyle name="Обычный 357" xfId="4615" xr:uid="{00000000-0005-0000-0000-000007120000}"/>
    <cellStyle name="Обычный 36" xfId="4616" xr:uid="{00000000-0005-0000-0000-000008120000}"/>
    <cellStyle name="Обычный 36 2" xfId="4617" xr:uid="{00000000-0005-0000-0000-000009120000}"/>
    <cellStyle name="Обычный 36 3" xfId="4618" xr:uid="{00000000-0005-0000-0000-00000A120000}"/>
    <cellStyle name="Обычный 360" xfId="4619" xr:uid="{00000000-0005-0000-0000-00000B120000}"/>
    <cellStyle name="Обычный 362" xfId="4620" xr:uid="{00000000-0005-0000-0000-00000C120000}"/>
    <cellStyle name="Обычный 365" xfId="4621" xr:uid="{00000000-0005-0000-0000-00000D120000}"/>
    <cellStyle name="Обычный 367" xfId="4622" xr:uid="{00000000-0005-0000-0000-00000E120000}"/>
    <cellStyle name="Обычный 369" xfId="4623" xr:uid="{00000000-0005-0000-0000-00000F120000}"/>
    <cellStyle name="Обычный 373" xfId="4624" xr:uid="{00000000-0005-0000-0000-000010120000}"/>
    <cellStyle name="Обычный 377" xfId="4625" xr:uid="{00000000-0005-0000-0000-000011120000}"/>
    <cellStyle name="Обычный 379" xfId="4626" xr:uid="{00000000-0005-0000-0000-000012120000}"/>
    <cellStyle name="Обычный 381" xfId="4627" xr:uid="{00000000-0005-0000-0000-000013120000}"/>
    <cellStyle name="Обычный 385" xfId="4628" xr:uid="{00000000-0005-0000-0000-000014120000}"/>
    <cellStyle name="Обычный 39 2" xfId="4629" xr:uid="{00000000-0005-0000-0000-000015120000}"/>
    <cellStyle name="Обычный 39 3" xfId="4630" xr:uid="{00000000-0005-0000-0000-000016120000}"/>
    <cellStyle name="Обычный 390" xfId="4631" xr:uid="{00000000-0005-0000-0000-000017120000}"/>
    <cellStyle name="Обычный 392" xfId="4632" xr:uid="{00000000-0005-0000-0000-000018120000}"/>
    <cellStyle name="Обычный 394" xfId="4633" xr:uid="{00000000-0005-0000-0000-000019120000}"/>
    <cellStyle name="Обычный 397" xfId="4634" xr:uid="{00000000-0005-0000-0000-00001A120000}"/>
    <cellStyle name="Обычный 4" xfId="4635" xr:uid="{00000000-0005-0000-0000-00001B120000}"/>
    <cellStyle name="Обычный 4 10" xfId="4636" xr:uid="{00000000-0005-0000-0000-00001C120000}"/>
    <cellStyle name="Обычный 4 11" xfId="4637" xr:uid="{00000000-0005-0000-0000-00001D120000}"/>
    <cellStyle name="Обычный 4 12" xfId="4638" xr:uid="{00000000-0005-0000-0000-00001E120000}"/>
    <cellStyle name="Обычный 4 13" xfId="4639" xr:uid="{00000000-0005-0000-0000-00001F120000}"/>
    <cellStyle name="Обычный 4 14" xfId="4640" xr:uid="{00000000-0005-0000-0000-000020120000}"/>
    <cellStyle name="Обычный 4 15" xfId="4641" xr:uid="{00000000-0005-0000-0000-000021120000}"/>
    <cellStyle name="Обычный 4 16" xfId="4642" xr:uid="{00000000-0005-0000-0000-000022120000}"/>
    <cellStyle name="Обычный 4 17" xfId="4643" xr:uid="{00000000-0005-0000-0000-000023120000}"/>
    <cellStyle name="Обычный 4 18" xfId="4644" xr:uid="{00000000-0005-0000-0000-000024120000}"/>
    <cellStyle name="Обычный 4 19" xfId="4645" xr:uid="{00000000-0005-0000-0000-000025120000}"/>
    <cellStyle name="Обычный 4 2" xfId="4646" xr:uid="{00000000-0005-0000-0000-000026120000}"/>
    <cellStyle name="Обычный 4 2 10" xfId="4647" xr:uid="{00000000-0005-0000-0000-000027120000}"/>
    <cellStyle name="Обычный 4 2 10 2" xfId="4648" xr:uid="{00000000-0005-0000-0000-000028120000}"/>
    <cellStyle name="Обычный 4 2 10 2 2" xfId="4649" xr:uid="{00000000-0005-0000-0000-000029120000}"/>
    <cellStyle name="Обычный 4 2 10 2 3" xfId="4650" xr:uid="{00000000-0005-0000-0000-00002A120000}"/>
    <cellStyle name="Обычный 4 2 10 3" xfId="4651" xr:uid="{00000000-0005-0000-0000-00002B120000}"/>
    <cellStyle name="Обычный 4 2 10 3 2" xfId="4652" xr:uid="{00000000-0005-0000-0000-00002C120000}"/>
    <cellStyle name="Обычный 4 2 10 4" xfId="4653" xr:uid="{00000000-0005-0000-0000-00002D120000}"/>
    <cellStyle name="Обычный 4 2 10 5" xfId="4654" xr:uid="{00000000-0005-0000-0000-00002E120000}"/>
    <cellStyle name="Обычный 4 2 11" xfId="4655" xr:uid="{00000000-0005-0000-0000-00002F120000}"/>
    <cellStyle name="Обычный 4 2 11 2" xfId="4656" xr:uid="{00000000-0005-0000-0000-000030120000}"/>
    <cellStyle name="Обычный 4 2 11 2 2" xfId="4657" xr:uid="{00000000-0005-0000-0000-000031120000}"/>
    <cellStyle name="Обычный 4 2 11 2 3" xfId="4658" xr:uid="{00000000-0005-0000-0000-000032120000}"/>
    <cellStyle name="Обычный 4 2 11 3" xfId="4659" xr:uid="{00000000-0005-0000-0000-000033120000}"/>
    <cellStyle name="Обычный 4 2 11 3 2" xfId="4660" xr:uid="{00000000-0005-0000-0000-000034120000}"/>
    <cellStyle name="Обычный 4 2 11 4" xfId="4661" xr:uid="{00000000-0005-0000-0000-000035120000}"/>
    <cellStyle name="Обычный 4 2 11 5" xfId="4662" xr:uid="{00000000-0005-0000-0000-000036120000}"/>
    <cellStyle name="Обычный 4 2 12" xfId="4663" xr:uid="{00000000-0005-0000-0000-000037120000}"/>
    <cellStyle name="Обычный 4 2 12 2" xfId="4664" xr:uid="{00000000-0005-0000-0000-000038120000}"/>
    <cellStyle name="Обычный 4 2 12 2 2" xfId="4665" xr:uid="{00000000-0005-0000-0000-000039120000}"/>
    <cellStyle name="Обычный 4 2 12 2 3" xfId="4666" xr:uid="{00000000-0005-0000-0000-00003A120000}"/>
    <cellStyle name="Обычный 4 2 12 3" xfId="4667" xr:uid="{00000000-0005-0000-0000-00003B120000}"/>
    <cellStyle name="Обычный 4 2 12 3 2" xfId="4668" xr:uid="{00000000-0005-0000-0000-00003C120000}"/>
    <cellStyle name="Обычный 4 2 12 4" xfId="4669" xr:uid="{00000000-0005-0000-0000-00003D120000}"/>
    <cellStyle name="Обычный 4 2 12 5" xfId="4670" xr:uid="{00000000-0005-0000-0000-00003E120000}"/>
    <cellStyle name="Обычный 4 2 13" xfId="4671" xr:uid="{00000000-0005-0000-0000-00003F120000}"/>
    <cellStyle name="Обычный 4 2 14" xfId="4672" xr:uid="{00000000-0005-0000-0000-000040120000}"/>
    <cellStyle name="Обычный 4 2 14 2" xfId="4673" xr:uid="{00000000-0005-0000-0000-000041120000}"/>
    <cellStyle name="Обычный 4 2 14 3" xfId="4674" xr:uid="{00000000-0005-0000-0000-000042120000}"/>
    <cellStyle name="Обычный 4 2 15" xfId="4675" xr:uid="{00000000-0005-0000-0000-000043120000}"/>
    <cellStyle name="Обычный 4 2 15 2" xfId="4676" xr:uid="{00000000-0005-0000-0000-000044120000}"/>
    <cellStyle name="Обычный 4 2 16" xfId="4677" xr:uid="{00000000-0005-0000-0000-000045120000}"/>
    <cellStyle name="Обычный 4 2 17" xfId="4678" xr:uid="{00000000-0005-0000-0000-000046120000}"/>
    <cellStyle name="Обычный 4 2 2" xfId="4679" xr:uid="{00000000-0005-0000-0000-000047120000}"/>
    <cellStyle name="Обычный 4 2 2 2" xfId="4680" xr:uid="{00000000-0005-0000-0000-000048120000}"/>
    <cellStyle name="Обычный 4 2 2 3" xfId="4681" xr:uid="{00000000-0005-0000-0000-000049120000}"/>
    <cellStyle name="Обычный 4 2 2 4" xfId="4682" xr:uid="{00000000-0005-0000-0000-00004A120000}"/>
    <cellStyle name="Обычный 4 2 2 5" xfId="4683" xr:uid="{00000000-0005-0000-0000-00004B120000}"/>
    <cellStyle name="Обычный 4 2 3" xfId="4684" xr:uid="{00000000-0005-0000-0000-00004C120000}"/>
    <cellStyle name="Обычный 4 2 3 2" xfId="4685" xr:uid="{00000000-0005-0000-0000-00004D120000}"/>
    <cellStyle name="Обычный 4 2 3 3" xfId="4686" xr:uid="{00000000-0005-0000-0000-00004E120000}"/>
    <cellStyle name="Обычный 4 2 3 3 2" xfId="4687" xr:uid="{00000000-0005-0000-0000-00004F120000}"/>
    <cellStyle name="Обычный 4 2 3 3 2 2" xfId="4688" xr:uid="{00000000-0005-0000-0000-000050120000}"/>
    <cellStyle name="Обычный 4 2 3 3 2 3" xfId="4689" xr:uid="{00000000-0005-0000-0000-000051120000}"/>
    <cellStyle name="Обычный 4 2 3 3 3" xfId="4690" xr:uid="{00000000-0005-0000-0000-000052120000}"/>
    <cellStyle name="Обычный 4 2 3 3 3 2" xfId="4691" xr:uid="{00000000-0005-0000-0000-000053120000}"/>
    <cellStyle name="Обычный 4 2 3 3 4" xfId="4692" xr:uid="{00000000-0005-0000-0000-000054120000}"/>
    <cellStyle name="Обычный 4 2 3 3 5" xfId="4693" xr:uid="{00000000-0005-0000-0000-000055120000}"/>
    <cellStyle name="Обычный 4 2 3 4" xfId="4694" xr:uid="{00000000-0005-0000-0000-000056120000}"/>
    <cellStyle name="Обычный 4 2 3 4 2" xfId="4695" xr:uid="{00000000-0005-0000-0000-000057120000}"/>
    <cellStyle name="Обычный 4 2 3 4 2 2" xfId="4696" xr:uid="{00000000-0005-0000-0000-000058120000}"/>
    <cellStyle name="Обычный 4 2 3 4 3" xfId="4697" xr:uid="{00000000-0005-0000-0000-000059120000}"/>
    <cellStyle name="Обычный 4 2 3 4 4" xfId="4698" xr:uid="{00000000-0005-0000-0000-00005A120000}"/>
    <cellStyle name="Обычный 4 2 3 5" xfId="4699" xr:uid="{00000000-0005-0000-0000-00005B120000}"/>
    <cellStyle name="Обычный 4 2 4" xfId="4700" xr:uid="{00000000-0005-0000-0000-00005C120000}"/>
    <cellStyle name="Обычный 4 2 4 10" xfId="4701" xr:uid="{00000000-0005-0000-0000-00005D120000}"/>
    <cellStyle name="Обычный 4 2 4 10 2" xfId="4702" xr:uid="{00000000-0005-0000-0000-00005E120000}"/>
    <cellStyle name="Обычный 4 2 4 10 3" xfId="4703" xr:uid="{00000000-0005-0000-0000-00005F120000}"/>
    <cellStyle name="Обычный 4 2 4 11" xfId="4704" xr:uid="{00000000-0005-0000-0000-000060120000}"/>
    <cellStyle name="Обычный 4 2 4 11 2" xfId="4705" xr:uid="{00000000-0005-0000-0000-000061120000}"/>
    <cellStyle name="Обычный 4 2 4 12" xfId="4706" xr:uid="{00000000-0005-0000-0000-000062120000}"/>
    <cellStyle name="Обычный 4 2 4 13" xfId="4707" xr:uid="{00000000-0005-0000-0000-000063120000}"/>
    <cellStyle name="Обычный 4 2 4 2" xfId="4708" xr:uid="{00000000-0005-0000-0000-000064120000}"/>
    <cellStyle name="Обычный 4 2 4 2 2" xfId="4709" xr:uid="{00000000-0005-0000-0000-000065120000}"/>
    <cellStyle name="Обычный 4 2 4 2 2 2" xfId="4710" xr:uid="{00000000-0005-0000-0000-000066120000}"/>
    <cellStyle name="Обычный 4 2 4 2 2 2 2" xfId="4711" xr:uid="{00000000-0005-0000-0000-000067120000}"/>
    <cellStyle name="Обычный 4 2 4 2 2 2 3" xfId="4712" xr:uid="{00000000-0005-0000-0000-000068120000}"/>
    <cellStyle name="Обычный 4 2 4 2 2 3" xfId="4713" xr:uid="{00000000-0005-0000-0000-000069120000}"/>
    <cellStyle name="Обычный 4 2 4 2 2 3 2" xfId="4714" xr:uid="{00000000-0005-0000-0000-00006A120000}"/>
    <cellStyle name="Обычный 4 2 4 2 2 4" xfId="4715" xr:uid="{00000000-0005-0000-0000-00006B120000}"/>
    <cellStyle name="Обычный 4 2 4 2 2 5" xfId="4716" xr:uid="{00000000-0005-0000-0000-00006C120000}"/>
    <cellStyle name="Обычный 4 2 4 2 3" xfId="4717" xr:uid="{00000000-0005-0000-0000-00006D120000}"/>
    <cellStyle name="Обычный 4 2 4 2 3 2" xfId="4718" xr:uid="{00000000-0005-0000-0000-00006E120000}"/>
    <cellStyle name="Обычный 4 2 4 2 3 3" xfId="4719" xr:uid="{00000000-0005-0000-0000-00006F120000}"/>
    <cellStyle name="Обычный 4 2 4 2 4" xfId="4720" xr:uid="{00000000-0005-0000-0000-000070120000}"/>
    <cellStyle name="Обычный 4 2 4 2 4 2" xfId="4721" xr:uid="{00000000-0005-0000-0000-000071120000}"/>
    <cellStyle name="Обычный 4 2 4 2 5" xfId="4722" xr:uid="{00000000-0005-0000-0000-000072120000}"/>
    <cellStyle name="Обычный 4 2 4 2 6" xfId="4723" xr:uid="{00000000-0005-0000-0000-000073120000}"/>
    <cellStyle name="Обычный 4 2 4 3" xfId="4724" xr:uid="{00000000-0005-0000-0000-000074120000}"/>
    <cellStyle name="Обычный 4 2 4 3 2" xfId="4725" xr:uid="{00000000-0005-0000-0000-000075120000}"/>
    <cellStyle name="Обычный 4 2 4 3 2 2" xfId="4726" xr:uid="{00000000-0005-0000-0000-000076120000}"/>
    <cellStyle name="Обычный 4 2 4 3 2 2 2" xfId="4727" xr:uid="{00000000-0005-0000-0000-000077120000}"/>
    <cellStyle name="Обычный 4 2 4 3 2 2 3" xfId="4728" xr:uid="{00000000-0005-0000-0000-000078120000}"/>
    <cellStyle name="Обычный 4 2 4 3 2 3" xfId="4729" xr:uid="{00000000-0005-0000-0000-000079120000}"/>
    <cellStyle name="Обычный 4 2 4 3 2 3 2" xfId="4730" xr:uid="{00000000-0005-0000-0000-00007A120000}"/>
    <cellStyle name="Обычный 4 2 4 3 2 4" xfId="4731" xr:uid="{00000000-0005-0000-0000-00007B120000}"/>
    <cellStyle name="Обычный 4 2 4 3 2 5" xfId="4732" xr:uid="{00000000-0005-0000-0000-00007C120000}"/>
    <cellStyle name="Обычный 4 2 4 3 3" xfId="4733" xr:uid="{00000000-0005-0000-0000-00007D120000}"/>
    <cellStyle name="Обычный 4 2 4 3 3 2" xfId="4734" xr:uid="{00000000-0005-0000-0000-00007E120000}"/>
    <cellStyle name="Обычный 4 2 4 3 3 3" xfId="4735" xr:uid="{00000000-0005-0000-0000-00007F120000}"/>
    <cellStyle name="Обычный 4 2 4 3 4" xfId="4736" xr:uid="{00000000-0005-0000-0000-000080120000}"/>
    <cellStyle name="Обычный 4 2 4 3 4 2" xfId="4737" xr:uid="{00000000-0005-0000-0000-000081120000}"/>
    <cellStyle name="Обычный 4 2 4 3 5" xfId="4738" xr:uid="{00000000-0005-0000-0000-000082120000}"/>
    <cellStyle name="Обычный 4 2 4 3 6" xfId="4739" xr:uid="{00000000-0005-0000-0000-000083120000}"/>
    <cellStyle name="Обычный 4 2 4 4" xfId="4740" xr:uid="{00000000-0005-0000-0000-000084120000}"/>
    <cellStyle name="Обычный 4 2 4 4 2" xfId="4741" xr:uid="{00000000-0005-0000-0000-000085120000}"/>
    <cellStyle name="Обычный 4 2 4 4 2 2" xfId="4742" xr:uid="{00000000-0005-0000-0000-000086120000}"/>
    <cellStyle name="Обычный 4 2 4 4 2 2 2" xfId="4743" xr:uid="{00000000-0005-0000-0000-000087120000}"/>
    <cellStyle name="Обычный 4 2 4 4 2 2 3" xfId="4744" xr:uid="{00000000-0005-0000-0000-000088120000}"/>
    <cellStyle name="Обычный 4 2 4 4 2 3" xfId="4745" xr:uid="{00000000-0005-0000-0000-000089120000}"/>
    <cellStyle name="Обычный 4 2 4 4 2 3 2" xfId="4746" xr:uid="{00000000-0005-0000-0000-00008A120000}"/>
    <cellStyle name="Обычный 4 2 4 4 2 4" xfId="4747" xr:uid="{00000000-0005-0000-0000-00008B120000}"/>
    <cellStyle name="Обычный 4 2 4 4 2 5" xfId="4748" xr:uid="{00000000-0005-0000-0000-00008C120000}"/>
    <cellStyle name="Обычный 4 2 4 4 3" xfId="4749" xr:uid="{00000000-0005-0000-0000-00008D120000}"/>
    <cellStyle name="Обычный 4 2 4 4 3 2" xfId="4750" xr:uid="{00000000-0005-0000-0000-00008E120000}"/>
    <cellStyle name="Обычный 4 2 4 4 3 3" xfId="4751" xr:uid="{00000000-0005-0000-0000-00008F120000}"/>
    <cellStyle name="Обычный 4 2 4 4 4" xfId="4752" xr:uid="{00000000-0005-0000-0000-000090120000}"/>
    <cellStyle name="Обычный 4 2 4 4 4 2" xfId="4753" xr:uid="{00000000-0005-0000-0000-000091120000}"/>
    <cellStyle name="Обычный 4 2 4 4 5" xfId="4754" xr:uid="{00000000-0005-0000-0000-000092120000}"/>
    <cellStyle name="Обычный 4 2 4 4 6" xfId="4755" xr:uid="{00000000-0005-0000-0000-000093120000}"/>
    <cellStyle name="Обычный 4 2 4 5" xfId="4756" xr:uid="{00000000-0005-0000-0000-000094120000}"/>
    <cellStyle name="Обычный 4 2 4 5 2" xfId="4757" xr:uid="{00000000-0005-0000-0000-000095120000}"/>
    <cellStyle name="Обычный 4 2 4 5 2 2" xfId="4758" xr:uid="{00000000-0005-0000-0000-000096120000}"/>
    <cellStyle name="Обычный 4 2 4 5 2 3" xfId="4759" xr:uid="{00000000-0005-0000-0000-000097120000}"/>
    <cellStyle name="Обычный 4 2 4 5 3" xfId="4760" xr:uid="{00000000-0005-0000-0000-000098120000}"/>
    <cellStyle name="Обычный 4 2 4 5 3 2" xfId="4761" xr:uid="{00000000-0005-0000-0000-000099120000}"/>
    <cellStyle name="Обычный 4 2 4 5 4" xfId="4762" xr:uid="{00000000-0005-0000-0000-00009A120000}"/>
    <cellStyle name="Обычный 4 2 4 5 5" xfId="4763" xr:uid="{00000000-0005-0000-0000-00009B120000}"/>
    <cellStyle name="Обычный 4 2 4 6" xfId="4764" xr:uid="{00000000-0005-0000-0000-00009C120000}"/>
    <cellStyle name="Обычный 4 2 4 6 2" xfId="4765" xr:uid="{00000000-0005-0000-0000-00009D120000}"/>
    <cellStyle name="Обычный 4 2 4 6 2 2" xfId="4766" xr:uid="{00000000-0005-0000-0000-00009E120000}"/>
    <cellStyle name="Обычный 4 2 4 6 2 3" xfId="4767" xr:uid="{00000000-0005-0000-0000-00009F120000}"/>
    <cellStyle name="Обычный 4 2 4 6 3" xfId="4768" xr:uid="{00000000-0005-0000-0000-0000A0120000}"/>
    <cellStyle name="Обычный 4 2 4 6 3 2" xfId="4769" xr:uid="{00000000-0005-0000-0000-0000A1120000}"/>
    <cellStyle name="Обычный 4 2 4 6 4" xfId="4770" xr:uid="{00000000-0005-0000-0000-0000A2120000}"/>
    <cellStyle name="Обычный 4 2 4 6 5" xfId="4771" xr:uid="{00000000-0005-0000-0000-0000A3120000}"/>
    <cellStyle name="Обычный 4 2 4 7" xfId="4772" xr:uid="{00000000-0005-0000-0000-0000A4120000}"/>
    <cellStyle name="Обычный 4 2 4 7 2" xfId="4773" xr:uid="{00000000-0005-0000-0000-0000A5120000}"/>
    <cellStyle name="Обычный 4 2 4 7 2 2" xfId="4774" xr:uid="{00000000-0005-0000-0000-0000A6120000}"/>
    <cellStyle name="Обычный 4 2 4 7 2 3" xfId="4775" xr:uid="{00000000-0005-0000-0000-0000A7120000}"/>
    <cellStyle name="Обычный 4 2 4 7 3" xfId="4776" xr:uid="{00000000-0005-0000-0000-0000A8120000}"/>
    <cellStyle name="Обычный 4 2 4 7 3 2" xfId="4777" xr:uid="{00000000-0005-0000-0000-0000A9120000}"/>
    <cellStyle name="Обычный 4 2 4 7 4" xfId="4778" xr:uid="{00000000-0005-0000-0000-0000AA120000}"/>
    <cellStyle name="Обычный 4 2 4 7 5" xfId="4779" xr:uid="{00000000-0005-0000-0000-0000AB120000}"/>
    <cellStyle name="Обычный 4 2 4 8" xfId="4780" xr:uid="{00000000-0005-0000-0000-0000AC120000}"/>
    <cellStyle name="Обычный 4 2 4 8 2" xfId="4781" xr:uid="{00000000-0005-0000-0000-0000AD120000}"/>
    <cellStyle name="Обычный 4 2 4 8 2 2" xfId="4782" xr:uid="{00000000-0005-0000-0000-0000AE120000}"/>
    <cellStyle name="Обычный 4 2 4 8 2 3" xfId="4783" xr:uid="{00000000-0005-0000-0000-0000AF120000}"/>
    <cellStyle name="Обычный 4 2 4 8 3" xfId="4784" xr:uid="{00000000-0005-0000-0000-0000B0120000}"/>
    <cellStyle name="Обычный 4 2 4 8 3 2" xfId="4785" xr:uid="{00000000-0005-0000-0000-0000B1120000}"/>
    <cellStyle name="Обычный 4 2 4 8 4" xfId="4786" xr:uid="{00000000-0005-0000-0000-0000B2120000}"/>
    <cellStyle name="Обычный 4 2 4 8 5" xfId="4787" xr:uid="{00000000-0005-0000-0000-0000B3120000}"/>
    <cellStyle name="Обычный 4 2 4 9" xfId="4788" xr:uid="{00000000-0005-0000-0000-0000B4120000}"/>
    <cellStyle name="Обычный 4 2 4 9 2" xfId="4789" xr:uid="{00000000-0005-0000-0000-0000B5120000}"/>
    <cellStyle name="Обычный 4 2 4 9 2 2" xfId="4790" xr:uid="{00000000-0005-0000-0000-0000B6120000}"/>
    <cellStyle name="Обычный 4 2 4 9 2 3" xfId="4791" xr:uid="{00000000-0005-0000-0000-0000B7120000}"/>
    <cellStyle name="Обычный 4 2 4 9 3" xfId="4792" xr:uid="{00000000-0005-0000-0000-0000B8120000}"/>
    <cellStyle name="Обычный 4 2 4 9 3 2" xfId="4793" xr:uid="{00000000-0005-0000-0000-0000B9120000}"/>
    <cellStyle name="Обычный 4 2 4 9 4" xfId="4794" xr:uid="{00000000-0005-0000-0000-0000BA120000}"/>
    <cellStyle name="Обычный 4 2 4 9 5" xfId="4795" xr:uid="{00000000-0005-0000-0000-0000BB120000}"/>
    <cellStyle name="Обычный 4 2 5" xfId="4796" xr:uid="{00000000-0005-0000-0000-0000BC120000}"/>
    <cellStyle name="Обычный 4 2 5 2" xfId="4797" xr:uid="{00000000-0005-0000-0000-0000BD120000}"/>
    <cellStyle name="Обычный 4 2 5 2 2" xfId="4798" xr:uid="{00000000-0005-0000-0000-0000BE120000}"/>
    <cellStyle name="Обычный 4 2 5 2 2 2" xfId="4799" xr:uid="{00000000-0005-0000-0000-0000BF120000}"/>
    <cellStyle name="Обычный 4 2 5 2 2 3" xfId="4800" xr:uid="{00000000-0005-0000-0000-0000C0120000}"/>
    <cellStyle name="Обычный 4 2 5 2 3" xfId="4801" xr:uid="{00000000-0005-0000-0000-0000C1120000}"/>
    <cellStyle name="Обычный 4 2 5 2 3 2" xfId="4802" xr:uid="{00000000-0005-0000-0000-0000C2120000}"/>
    <cellStyle name="Обычный 4 2 5 2 4" xfId="4803" xr:uid="{00000000-0005-0000-0000-0000C3120000}"/>
    <cellStyle name="Обычный 4 2 5 2 5" xfId="4804" xr:uid="{00000000-0005-0000-0000-0000C4120000}"/>
    <cellStyle name="Обычный 4 2 5 3" xfId="4805" xr:uid="{00000000-0005-0000-0000-0000C5120000}"/>
    <cellStyle name="Обычный 4 2 5 3 2" xfId="4806" xr:uid="{00000000-0005-0000-0000-0000C6120000}"/>
    <cellStyle name="Обычный 4 2 5 3 3" xfId="4807" xr:uid="{00000000-0005-0000-0000-0000C7120000}"/>
    <cellStyle name="Обычный 4 2 5 4" xfId="4808" xr:uid="{00000000-0005-0000-0000-0000C8120000}"/>
    <cellStyle name="Обычный 4 2 5 4 2" xfId="4809" xr:uid="{00000000-0005-0000-0000-0000C9120000}"/>
    <cellStyle name="Обычный 4 2 5 5" xfId="4810" xr:uid="{00000000-0005-0000-0000-0000CA120000}"/>
    <cellStyle name="Обычный 4 2 5 6" xfId="4811" xr:uid="{00000000-0005-0000-0000-0000CB120000}"/>
    <cellStyle name="Обычный 4 2 6" xfId="4812" xr:uid="{00000000-0005-0000-0000-0000CC120000}"/>
    <cellStyle name="Обычный 4 2 6 2" xfId="4813" xr:uid="{00000000-0005-0000-0000-0000CD120000}"/>
    <cellStyle name="Обычный 4 2 6 2 2" xfId="4814" xr:uid="{00000000-0005-0000-0000-0000CE120000}"/>
    <cellStyle name="Обычный 4 2 6 2 2 2" xfId="4815" xr:uid="{00000000-0005-0000-0000-0000CF120000}"/>
    <cellStyle name="Обычный 4 2 6 2 2 3" xfId="4816" xr:uid="{00000000-0005-0000-0000-0000D0120000}"/>
    <cellStyle name="Обычный 4 2 6 2 3" xfId="4817" xr:uid="{00000000-0005-0000-0000-0000D1120000}"/>
    <cellStyle name="Обычный 4 2 6 2 3 2" xfId="4818" xr:uid="{00000000-0005-0000-0000-0000D2120000}"/>
    <cellStyle name="Обычный 4 2 6 2 4" xfId="4819" xr:uid="{00000000-0005-0000-0000-0000D3120000}"/>
    <cellStyle name="Обычный 4 2 6 2 5" xfId="4820" xr:uid="{00000000-0005-0000-0000-0000D4120000}"/>
    <cellStyle name="Обычный 4 2 6 3" xfId="4821" xr:uid="{00000000-0005-0000-0000-0000D5120000}"/>
    <cellStyle name="Обычный 4 2 6 3 2" xfId="4822" xr:uid="{00000000-0005-0000-0000-0000D6120000}"/>
    <cellStyle name="Обычный 4 2 6 3 3" xfId="4823" xr:uid="{00000000-0005-0000-0000-0000D7120000}"/>
    <cellStyle name="Обычный 4 2 6 4" xfId="4824" xr:uid="{00000000-0005-0000-0000-0000D8120000}"/>
    <cellStyle name="Обычный 4 2 6 4 2" xfId="4825" xr:uid="{00000000-0005-0000-0000-0000D9120000}"/>
    <cellStyle name="Обычный 4 2 6 5" xfId="4826" xr:uid="{00000000-0005-0000-0000-0000DA120000}"/>
    <cellStyle name="Обычный 4 2 6 6" xfId="4827" xr:uid="{00000000-0005-0000-0000-0000DB120000}"/>
    <cellStyle name="Обычный 4 2 7" xfId="4828" xr:uid="{00000000-0005-0000-0000-0000DC120000}"/>
    <cellStyle name="Обычный 4 2 7 2" xfId="4829" xr:uid="{00000000-0005-0000-0000-0000DD120000}"/>
    <cellStyle name="Обычный 4 2 7 2 2" xfId="4830" xr:uid="{00000000-0005-0000-0000-0000DE120000}"/>
    <cellStyle name="Обычный 4 2 7 2 2 2" xfId="4831" xr:uid="{00000000-0005-0000-0000-0000DF120000}"/>
    <cellStyle name="Обычный 4 2 7 2 2 3" xfId="4832" xr:uid="{00000000-0005-0000-0000-0000E0120000}"/>
    <cellStyle name="Обычный 4 2 7 2 3" xfId="4833" xr:uid="{00000000-0005-0000-0000-0000E1120000}"/>
    <cellStyle name="Обычный 4 2 7 2 3 2" xfId="4834" xr:uid="{00000000-0005-0000-0000-0000E2120000}"/>
    <cellStyle name="Обычный 4 2 7 2 4" xfId="4835" xr:uid="{00000000-0005-0000-0000-0000E3120000}"/>
    <cellStyle name="Обычный 4 2 7 2 5" xfId="4836" xr:uid="{00000000-0005-0000-0000-0000E4120000}"/>
    <cellStyle name="Обычный 4 2 7 3" xfId="4837" xr:uid="{00000000-0005-0000-0000-0000E5120000}"/>
    <cellStyle name="Обычный 4 2 7 3 2" xfId="4838" xr:uid="{00000000-0005-0000-0000-0000E6120000}"/>
    <cellStyle name="Обычный 4 2 7 3 3" xfId="4839" xr:uid="{00000000-0005-0000-0000-0000E7120000}"/>
    <cellStyle name="Обычный 4 2 7 4" xfId="4840" xr:uid="{00000000-0005-0000-0000-0000E8120000}"/>
    <cellStyle name="Обычный 4 2 7 4 2" xfId="4841" xr:uid="{00000000-0005-0000-0000-0000E9120000}"/>
    <cellStyle name="Обычный 4 2 7 5" xfId="4842" xr:uid="{00000000-0005-0000-0000-0000EA120000}"/>
    <cellStyle name="Обычный 4 2 7 6" xfId="4843" xr:uid="{00000000-0005-0000-0000-0000EB120000}"/>
    <cellStyle name="Обычный 4 2 8" xfId="4844" xr:uid="{00000000-0005-0000-0000-0000EC120000}"/>
    <cellStyle name="Обычный 4 2 8 2" xfId="4845" xr:uid="{00000000-0005-0000-0000-0000ED120000}"/>
    <cellStyle name="Обычный 4 2 8 2 2" xfId="4846" xr:uid="{00000000-0005-0000-0000-0000EE120000}"/>
    <cellStyle name="Обычный 4 2 8 2 2 2" xfId="4847" xr:uid="{00000000-0005-0000-0000-0000EF120000}"/>
    <cellStyle name="Обычный 4 2 8 2 2 3" xfId="4848" xr:uid="{00000000-0005-0000-0000-0000F0120000}"/>
    <cellStyle name="Обычный 4 2 8 2 3" xfId="4849" xr:uid="{00000000-0005-0000-0000-0000F1120000}"/>
    <cellStyle name="Обычный 4 2 8 2 3 2" xfId="4850" xr:uid="{00000000-0005-0000-0000-0000F2120000}"/>
    <cellStyle name="Обычный 4 2 8 2 4" xfId="4851" xr:uid="{00000000-0005-0000-0000-0000F3120000}"/>
    <cellStyle name="Обычный 4 2 8 2 5" xfId="4852" xr:uid="{00000000-0005-0000-0000-0000F4120000}"/>
    <cellStyle name="Обычный 4 2 8 3" xfId="4853" xr:uid="{00000000-0005-0000-0000-0000F5120000}"/>
    <cellStyle name="Обычный 4 2 8 3 2" xfId="4854" xr:uid="{00000000-0005-0000-0000-0000F6120000}"/>
    <cellStyle name="Обычный 4 2 8 3 3" xfId="4855" xr:uid="{00000000-0005-0000-0000-0000F7120000}"/>
    <cellStyle name="Обычный 4 2 8 4" xfId="4856" xr:uid="{00000000-0005-0000-0000-0000F8120000}"/>
    <cellStyle name="Обычный 4 2 8 4 2" xfId="4857" xr:uid="{00000000-0005-0000-0000-0000F9120000}"/>
    <cellStyle name="Обычный 4 2 8 5" xfId="4858" xr:uid="{00000000-0005-0000-0000-0000FA120000}"/>
    <cellStyle name="Обычный 4 2 8 6" xfId="4859" xr:uid="{00000000-0005-0000-0000-0000FB120000}"/>
    <cellStyle name="Обычный 4 2 9" xfId="4860" xr:uid="{00000000-0005-0000-0000-0000FC120000}"/>
    <cellStyle name="Обычный 4 2 9 2" xfId="4861" xr:uid="{00000000-0005-0000-0000-0000FD120000}"/>
    <cellStyle name="Обычный 4 2 9 2 2" xfId="4862" xr:uid="{00000000-0005-0000-0000-0000FE120000}"/>
    <cellStyle name="Обычный 4 2 9 2 3" xfId="4863" xr:uid="{00000000-0005-0000-0000-0000FF120000}"/>
    <cellStyle name="Обычный 4 2 9 3" xfId="4864" xr:uid="{00000000-0005-0000-0000-000000130000}"/>
    <cellStyle name="Обычный 4 2 9 3 2" xfId="4865" xr:uid="{00000000-0005-0000-0000-000001130000}"/>
    <cellStyle name="Обычный 4 2 9 4" xfId="4866" xr:uid="{00000000-0005-0000-0000-000002130000}"/>
    <cellStyle name="Обычный 4 2 9 5" xfId="4867" xr:uid="{00000000-0005-0000-0000-000003130000}"/>
    <cellStyle name="Обычный 4 20" xfId="4868" xr:uid="{00000000-0005-0000-0000-000004130000}"/>
    <cellStyle name="Обычный 4 21" xfId="4869" xr:uid="{00000000-0005-0000-0000-000005130000}"/>
    <cellStyle name="Обычный 4 22" xfId="4870" xr:uid="{00000000-0005-0000-0000-000006130000}"/>
    <cellStyle name="Обычный 4 3" xfId="4871" xr:uid="{00000000-0005-0000-0000-000007130000}"/>
    <cellStyle name="Обычный 4 3 10" xfId="4872" xr:uid="{00000000-0005-0000-0000-000008130000}"/>
    <cellStyle name="Обычный 4 3 10 2" xfId="4873" xr:uid="{00000000-0005-0000-0000-000009130000}"/>
    <cellStyle name="Обычный 4 3 10 2 2" xfId="4874" xr:uid="{00000000-0005-0000-0000-00000A130000}"/>
    <cellStyle name="Обычный 4 3 10 2 3" xfId="4875" xr:uid="{00000000-0005-0000-0000-00000B130000}"/>
    <cellStyle name="Обычный 4 3 10 3" xfId="4876" xr:uid="{00000000-0005-0000-0000-00000C130000}"/>
    <cellStyle name="Обычный 4 3 10 3 2" xfId="4877" xr:uid="{00000000-0005-0000-0000-00000D130000}"/>
    <cellStyle name="Обычный 4 3 10 4" xfId="4878" xr:uid="{00000000-0005-0000-0000-00000E130000}"/>
    <cellStyle name="Обычный 4 3 10 5" xfId="4879" xr:uid="{00000000-0005-0000-0000-00000F130000}"/>
    <cellStyle name="Обычный 4 3 11" xfId="4880" xr:uid="{00000000-0005-0000-0000-000010130000}"/>
    <cellStyle name="Обычный 4 3 11 2" xfId="4881" xr:uid="{00000000-0005-0000-0000-000011130000}"/>
    <cellStyle name="Обычный 4 3 11 2 2" xfId="4882" xr:uid="{00000000-0005-0000-0000-000012130000}"/>
    <cellStyle name="Обычный 4 3 11 2 3" xfId="4883" xr:uid="{00000000-0005-0000-0000-000013130000}"/>
    <cellStyle name="Обычный 4 3 11 3" xfId="4884" xr:uid="{00000000-0005-0000-0000-000014130000}"/>
    <cellStyle name="Обычный 4 3 11 3 2" xfId="4885" xr:uid="{00000000-0005-0000-0000-000015130000}"/>
    <cellStyle name="Обычный 4 3 11 4" xfId="4886" xr:uid="{00000000-0005-0000-0000-000016130000}"/>
    <cellStyle name="Обычный 4 3 11 5" xfId="4887" xr:uid="{00000000-0005-0000-0000-000017130000}"/>
    <cellStyle name="Обычный 4 3 12" xfId="4888" xr:uid="{00000000-0005-0000-0000-000018130000}"/>
    <cellStyle name="Обычный 4 3 12 2" xfId="4889" xr:uid="{00000000-0005-0000-0000-000019130000}"/>
    <cellStyle name="Обычный 4 3 12 2 2" xfId="4890" xr:uid="{00000000-0005-0000-0000-00001A130000}"/>
    <cellStyle name="Обычный 4 3 12 2 3" xfId="4891" xr:uid="{00000000-0005-0000-0000-00001B130000}"/>
    <cellStyle name="Обычный 4 3 12 3" xfId="4892" xr:uid="{00000000-0005-0000-0000-00001C130000}"/>
    <cellStyle name="Обычный 4 3 12 3 2" xfId="4893" xr:uid="{00000000-0005-0000-0000-00001D130000}"/>
    <cellStyle name="Обычный 4 3 12 4" xfId="4894" xr:uid="{00000000-0005-0000-0000-00001E130000}"/>
    <cellStyle name="Обычный 4 3 12 5" xfId="4895" xr:uid="{00000000-0005-0000-0000-00001F130000}"/>
    <cellStyle name="Обычный 4 3 13" xfId="4896" xr:uid="{00000000-0005-0000-0000-000020130000}"/>
    <cellStyle name="Обычный 4 3 13 2" xfId="4897" xr:uid="{00000000-0005-0000-0000-000021130000}"/>
    <cellStyle name="Обычный 4 3 13 2 2" xfId="4898" xr:uid="{00000000-0005-0000-0000-000022130000}"/>
    <cellStyle name="Обычный 4 3 13 2 3" xfId="4899" xr:uid="{00000000-0005-0000-0000-000023130000}"/>
    <cellStyle name="Обычный 4 3 13 3" xfId="4900" xr:uid="{00000000-0005-0000-0000-000024130000}"/>
    <cellStyle name="Обычный 4 3 13 3 2" xfId="4901" xr:uid="{00000000-0005-0000-0000-000025130000}"/>
    <cellStyle name="Обычный 4 3 13 4" xfId="4902" xr:uid="{00000000-0005-0000-0000-000026130000}"/>
    <cellStyle name="Обычный 4 3 13 5" xfId="4903" xr:uid="{00000000-0005-0000-0000-000027130000}"/>
    <cellStyle name="Обычный 4 3 14" xfId="4904" xr:uid="{00000000-0005-0000-0000-000028130000}"/>
    <cellStyle name="Обычный 4 3 15" xfId="4905" xr:uid="{00000000-0005-0000-0000-000029130000}"/>
    <cellStyle name="Обычный 4 3 15 2" xfId="4906" xr:uid="{00000000-0005-0000-0000-00002A130000}"/>
    <cellStyle name="Обычный 4 3 15 3" xfId="4907" xr:uid="{00000000-0005-0000-0000-00002B130000}"/>
    <cellStyle name="Обычный 4 3 16" xfId="4908" xr:uid="{00000000-0005-0000-0000-00002C130000}"/>
    <cellStyle name="Обычный 4 3 16 2" xfId="4909" xr:uid="{00000000-0005-0000-0000-00002D130000}"/>
    <cellStyle name="Обычный 4 3 17" xfId="4910" xr:uid="{00000000-0005-0000-0000-00002E130000}"/>
    <cellStyle name="Обычный 4 3 18" xfId="4911" xr:uid="{00000000-0005-0000-0000-00002F130000}"/>
    <cellStyle name="Обычный 4 3 19" xfId="4912" xr:uid="{00000000-0005-0000-0000-000030130000}"/>
    <cellStyle name="Обычный 4 3 2" xfId="4913" xr:uid="{00000000-0005-0000-0000-000031130000}"/>
    <cellStyle name="Обычный 4 3 2 2" xfId="4914" xr:uid="{00000000-0005-0000-0000-000032130000}"/>
    <cellStyle name="Обычный 4 3 2 2 2" xfId="4915" xr:uid="{00000000-0005-0000-0000-000033130000}"/>
    <cellStyle name="Обычный 4 3 2 2 2 2" xfId="4916" xr:uid="{00000000-0005-0000-0000-000034130000}"/>
    <cellStyle name="Обычный 4 3 2 2 2 3" xfId="4917" xr:uid="{00000000-0005-0000-0000-000035130000}"/>
    <cellStyle name="Обычный 4 3 2 2 3" xfId="4918" xr:uid="{00000000-0005-0000-0000-000036130000}"/>
    <cellStyle name="Обычный 4 3 2 2 3 2" xfId="4919" xr:uid="{00000000-0005-0000-0000-000037130000}"/>
    <cellStyle name="Обычный 4 3 2 2 4" xfId="4920" xr:uid="{00000000-0005-0000-0000-000038130000}"/>
    <cellStyle name="Обычный 4 3 2 2 5" xfId="4921" xr:uid="{00000000-0005-0000-0000-000039130000}"/>
    <cellStyle name="Обычный 4 3 2 3" xfId="4922" xr:uid="{00000000-0005-0000-0000-00003A130000}"/>
    <cellStyle name="Обычный 4 3 2 3 2" xfId="4923" xr:uid="{00000000-0005-0000-0000-00003B130000}"/>
    <cellStyle name="Обычный 4 3 2 3 3" xfId="4924" xr:uid="{00000000-0005-0000-0000-00003C130000}"/>
    <cellStyle name="Обычный 4 3 2 4" xfId="4925" xr:uid="{00000000-0005-0000-0000-00003D130000}"/>
    <cellStyle name="Обычный 4 3 2 4 2" xfId="4926" xr:uid="{00000000-0005-0000-0000-00003E130000}"/>
    <cellStyle name="Обычный 4 3 2 5" xfId="4927" xr:uid="{00000000-0005-0000-0000-00003F130000}"/>
    <cellStyle name="Обычный 4 3 2 6" xfId="4928" xr:uid="{00000000-0005-0000-0000-000040130000}"/>
    <cellStyle name="Обычный 4 3 3" xfId="4929" xr:uid="{00000000-0005-0000-0000-000041130000}"/>
    <cellStyle name="Обычный 4 3 3 2" xfId="4930" xr:uid="{00000000-0005-0000-0000-000042130000}"/>
    <cellStyle name="Обычный 4 3 3 2 2" xfId="4931" xr:uid="{00000000-0005-0000-0000-000043130000}"/>
    <cellStyle name="Обычный 4 3 3 2 2 2" xfId="4932" xr:uid="{00000000-0005-0000-0000-000044130000}"/>
    <cellStyle name="Обычный 4 3 3 2 2 3" xfId="4933" xr:uid="{00000000-0005-0000-0000-000045130000}"/>
    <cellStyle name="Обычный 4 3 3 2 3" xfId="4934" xr:uid="{00000000-0005-0000-0000-000046130000}"/>
    <cellStyle name="Обычный 4 3 3 2 3 2" xfId="4935" xr:uid="{00000000-0005-0000-0000-000047130000}"/>
    <cellStyle name="Обычный 4 3 3 2 4" xfId="4936" xr:uid="{00000000-0005-0000-0000-000048130000}"/>
    <cellStyle name="Обычный 4 3 3 2 5" xfId="4937" xr:uid="{00000000-0005-0000-0000-000049130000}"/>
    <cellStyle name="Обычный 4 3 3 3" xfId="4938" xr:uid="{00000000-0005-0000-0000-00004A130000}"/>
    <cellStyle name="Обычный 4 3 3 3 2" xfId="4939" xr:uid="{00000000-0005-0000-0000-00004B130000}"/>
    <cellStyle name="Обычный 4 3 3 3 3" xfId="4940" xr:uid="{00000000-0005-0000-0000-00004C130000}"/>
    <cellStyle name="Обычный 4 3 3 4" xfId="4941" xr:uid="{00000000-0005-0000-0000-00004D130000}"/>
    <cellStyle name="Обычный 4 3 3 4 2" xfId="4942" xr:uid="{00000000-0005-0000-0000-00004E130000}"/>
    <cellStyle name="Обычный 4 3 3 5" xfId="4943" xr:uid="{00000000-0005-0000-0000-00004F130000}"/>
    <cellStyle name="Обычный 4 3 3 6" xfId="4944" xr:uid="{00000000-0005-0000-0000-000050130000}"/>
    <cellStyle name="Обычный 4 3 4" xfId="4945" xr:uid="{00000000-0005-0000-0000-000051130000}"/>
    <cellStyle name="Обычный 4 3 4 2" xfId="4946" xr:uid="{00000000-0005-0000-0000-000052130000}"/>
    <cellStyle name="Обычный 4 3 4 2 2" xfId="4947" xr:uid="{00000000-0005-0000-0000-000053130000}"/>
    <cellStyle name="Обычный 4 3 4 2 2 2" xfId="4948" xr:uid="{00000000-0005-0000-0000-000054130000}"/>
    <cellStyle name="Обычный 4 3 4 2 2 3" xfId="4949" xr:uid="{00000000-0005-0000-0000-000055130000}"/>
    <cellStyle name="Обычный 4 3 4 2 3" xfId="4950" xr:uid="{00000000-0005-0000-0000-000056130000}"/>
    <cellStyle name="Обычный 4 3 4 2 3 2" xfId="4951" xr:uid="{00000000-0005-0000-0000-000057130000}"/>
    <cellStyle name="Обычный 4 3 4 2 4" xfId="4952" xr:uid="{00000000-0005-0000-0000-000058130000}"/>
    <cellStyle name="Обычный 4 3 4 2 5" xfId="4953" xr:uid="{00000000-0005-0000-0000-000059130000}"/>
    <cellStyle name="Обычный 4 3 4 3" xfId="4954" xr:uid="{00000000-0005-0000-0000-00005A130000}"/>
    <cellStyle name="Обычный 4 3 4 3 2" xfId="4955" xr:uid="{00000000-0005-0000-0000-00005B130000}"/>
    <cellStyle name="Обычный 4 3 4 3 3" xfId="4956" xr:uid="{00000000-0005-0000-0000-00005C130000}"/>
    <cellStyle name="Обычный 4 3 4 4" xfId="4957" xr:uid="{00000000-0005-0000-0000-00005D130000}"/>
    <cellStyle name="Обычный 4 3 4 4 2" xfId="4958" xr:uid="{00000000-0005-0000-0000-00005E130000}"/>
    <cellStyle name="Обычный 4 3 4 5" xfId="4959" xr:uid="{00000000-0005-0000-0000-00005F130000}"/>
    <cellStyle name="Обычный 4 3 4 6" xfId="4960" xr:uid="{00000000-0005-0000-0000-000060130000}"/>
    <cellStyle name="Обычный 4 3 5" xfId="4961" xr:uid="{00000000-0005-0000-0000-000061130000}"/>
    <cellStyle name="Обычный 4 3 5 2" xfId="4962" xr:uid="{00000000-0005-0000-0000-000062130000}"/>
    <cellStyle name="Обычный 4 3 5 2 2" xfId="4963" xr:uid="{00000000-0005-0000-0000-000063130000}"/>
    <cellStyle name="Обычный 4 3 5 2 2 2" xfId="4964" xr:uid="{00000000-0005-0000-0000-000064130000}"/>
    <cellStyle name="Обычный 4 3 5 2 2 3" xfId="4965" xr:uid="{00000000-0005-0000-0000-000065130000}"/>
    <cellStyle name="Обычный 4 3 5 2 3" xfId="4966" xr:uid="{00000000-0005-0000-0000-000066130000}"/>
    <cellStyle name="Обычный 4 3 5 2 3 2" xfId="4967" xr:uid="{00000000-0005-0000-0000-000067130000}"/>
    <cellStyle name="Обычный 4 3 5 2 4" xfId="4968" xr:uid="{00000000-0005-0000-0000-000068130000}"/>
    <cellStyle name="Обычный 4 3 5 2 5" xfId="4969" xr:uid="{00000000-0005-0000-0000-000069130000}"/>
    <cellStyle name="Обычный 4 3 5 3" xfId="4970" xr:uid="{00000000-0005-0000-0000-00006A130000}"/>
    <cellStyle name="Обычный 4 3 5 3 2" xfId="4971" xr:uid="{00000000-0005-0000-0000-00006B130000}"/>
    <cellStyle name="Обычный 4 3 5 3 3" xfId="4972" xr:uid="{00000000-0005-0000-0000-00006C130000}"/>
    <cellStyle name="Обычный 4 3 5 4" xfId="4973" xr:uid="{00000000-0005-0000-0000-00006D130000}"/>
    <cellStyle name="Обычный 4 3 5 4 2" xfId="4974" xr:uid="{00000000-0005-0000-0000-00006E130000}"/>
    <cellStyle name="Обычный 4 3 5 5" xfId="4975" xr:uid="{00000000-0005-0000-0000-00006F130000}"/>
    <cellStyle name="Обычный 4 3 5 6" xfId="4976" xr:uid="{00000000-0005-0000-0000-000070130000}"/>
    <cellStyle name="Обычный 4 3 6" xfId="4977" xr:uid="{00000000-0005-0000-0000-000071130000}"/>
    <cellStyle name="Обычный 4 3 6 2" xfId="4978" xr:uid="{00000000-0005-0000-0000-000072130000}"/>
    <cellStyle name="Обычный 4 3 6 2 2" xfId="4979" xr:uid="{00000000-0005-0000-0000-000073130000}"/>
    <cellStyle name="Обычный 4 3 6 2 2 2" xfId="4980" xr:uid="{00000000-0005-0000-0000-000074130000}"/>
    <cellStyle name="Обычный 4 3 6 2 2 3" xfId="4981" xr:uid="{00000000-0005-0000-0000-000075130000}"/>
    <cellStyle name="Обычный 4 3 6 2 3" xfId="4982" xr:uid="{00000000-0005-0000-0000-000076130000}"/>
    <cellStyle name="Обычный 4 3 6 2 3 2" xfId="4983" xr:uid="{00000000-0005-0000-0000-000077130000}"/>
    <cellStyle name="Обычный 4 3 6 2 4" xfId="4984" xr:uid="{00000000-0005-0000-0000-000078130000}"/>
    <cellStyle name="Обычный 4 3 6 2 5" xfId="4985" xr:uid="{00000000-0005-0000-0000-000079130000}"/>
    <cellStyle name="Обычный 4 3 6 3" xfId="4986" xr:uid="{00000000-0005-0000-0000-00007A130000}"/>
    <cellStyle name="Обычный 4 3 6 3 2" xfId="4987" xr:uid="{00000000-0005-0000-0000-00007B130000}"/>
    <cellStyle name="Обычный 4 3 6 3 3" xfId="4988" xr:uid="{00000000-0005-0000-0000-00007C130000}"/>
    <cellStyle name="Обычный 4 3 6 4" xfId="4989" xr:uid="{00000000-0005-0000-0000-00007D130000}"/>
    <cellStyle name="Обычный 4 3 6 4 2" xfId="4990" xr:uid="{00000000-0005-0000-0000-00007E130000}"/>
    <cellStyle name="Обычный 4 3 6 5" xfId="4991" xr:uid="{00000000-0005-0000-0000-00007F130000}"/>
    <cellStyle name="Обычный 4 3 6 6" xfId="4992" xr:uid="{00000000-0005-0000-0000-000080130000}"/>
    <cellStyle name="Обычный 4 3 7" xfId="4993" xr:uid="{00000000-0005-0000-0000-000081130000}"/>
    <cellStyle name="Обычный 4 3 7 2" xfId="4994" xr:uid="{00000000-0005-0000-0000-000082130000}"/>
    <cellStyle name="Обычный 4 3 7 2 2" xfId="4995" xr:uid="{00000000-0005-0000-0000-000083130000}"/>
    <cellStyle name="Обычный 4 3 7 2 2 2" xfId="4996" xr:uid="{00000000-0005-0000-0000-000084130000}"/>
    <cellStyle name="Обычный 4 3 7 2 2 3" xfId="4997" xr:uid="{00000000-0005-0000-0000-000085130000}"/>
    <cellStyle name="Обычный 4 3 7 2 3" xfId="4998" xr:uid="{00000000-0005-0000-0000-000086130000}"/>
    <cellStyle name="Обычный 4 3 7 2 3 2" xfId="4999" xr:uid="{00000000-0005-0000-0000-000087130000}"/>
    <cellStyle name="Обычный 4 3 7 2 4" xfId="5000" xr:uid="{00000000-0005-0000-0000-000088130000}"/>
    <cellStyle name="Обычный 4 3 7 2 5" xfId="5001" xr:uid="{00000000-0005-0000-0000-000089130000}"/>
    <cellStyle name="Обычный 4 3 7 3" xfId="5002" xr:uid="{00000000-0005-0000-0000-00008A130000}"/>
    <cellStyle name="Обычный 4 3 7 3 2" xfId="5003" xr:uid="{00000000-0005-0000-0000-00008B130000}"/>
    <cellStyle name="Обычный 4 3 7 3 3" xfId="5004" xr:uid="{00000000-0005-0000-0000-00008C130000}"/>
    <cellStyle name="Обычный 4 3 7 4" xfId="5005" xr:uid="{00000000-0005-0000-0000-00008D130000}"/>
    <cellStyle name="Обычный 4 3 7 4 2" xfId="5006" xr:uid="{00000000-0005-0000-0000-00008E130000}"/>
    <cellStyle name="Обычный 4 3 7 5" xfId="5007" xr:uid="{00000000-0005-0000-0000-00008F130000}"/>
    <cellStyle name="Обычный 4 3 7 6" xfId="5008" xr:uid="{00000000-0005-0000-0000-000090130000}"/>
    <cellStyle name="Обычный 4 3 8" xfId="5009" xr:uid="{00000000-0005-0000-0000-000091130000}"/>
    <cellStyle name="Обычный 4 3 8 2" xfId="5010" xr:uid="{00000000-0005-0000-0000-000092130000}"/>
    <cellStyle name="Обычный 4 3 8 2 2" xfId="5011" xr:uid="{00000000-0005-0000-0000-000093130000}"/>
    <cellStyle name="Обычный 4 3 8 2 3" xfId="5012" xr:uid="{00000000-0005-0000-0000-000094130000}"/>
    <cellStyle name="Обычный 4 3 8 3" xfId="5013" xr:uid="{00000000-0005-0000-0000-000095130000}"/>
    <cellStyle name="Обычный 4 3 8 3 2" xfId="5014" xr:uid="{00000000-0005-0000-0000-000096130000}"/>
    <cellStyle name="Обычный 4 3 8 4" xfId="5015" xr:uid="{00000000-0005-0000-0000-000097130000}"/>
    <cellStyle name="Обычный 4 3 8 5" xfId="5016" xr:uid="{00000000-0005-0000-0000-000098130000}"/>
    <cellStyle name="Обычный 4 3 9" xfId="5017" xr:uid="{00000000-0005-0000-0000-000099130000}"/>
    <cellStyle name="Обычный 4 3 9 2" xfId="5018" xr:uid="{00000000-0005-0000-0000-00009A130000}"/>
    <cellStyle name="Обычный 4 3 9 2 2" xfId="5019" xr:uid="{00000000-0005-0000-0000-00009B130000}"/>
    <cellStyle name="Обычный 4 3 9 2 3" xfId="5020" xr:uid="{00000000-0005-0000-0000-00009C130000}"/>
    <cellStyle name="Обычный 4 3 9 3" xfId="5021" xr:uid="{00000000-0005-0000-0000-00009D130000}"/>
    <cellStyle name="Обычный 4 3 9 3 2" xfId="5022" xr:uid="{00000000-0005-0000-0000-00009E130000}"/>
    <cellStyle name="Обычный 4 3 9 4" xfId="5023" xr:uid="{00000000-0005-0000-0000-00009F130000}"/>
    <cellStyle name="Обычный 4 3 9 5" xfId="5024" xr:uid="{00000000-0005-0000-0000-0000A0130000}"/>
    <cellStyle name="Обычный 4 4" xfId="5025" xr:uid="{00000000-0005-0000-0000-0000A1130000}"/>
    <cellStyle name="Обычный 4 4 2" xfId="5026" xr:uid="{00000000-0005-0000-0000-0000A2130000}"/>
    <cellStyle name="Обычный 4 4 3" xfId="5027" xr:uid="{00000000-0005-0000-0000-0000A3130000}"/>
    <cellStyle name="Обычный 4 4 4" xfId="5028" xr:uid="{00000000-0005-0000-0000-0000A4130000}"/>
    <cellStyle name="Обычный 4 4 5" xfId="5029" xr:uid="{00000000-0005-0000-0000-0000A5130000}"/>
    <cellStyle name="Обычный 4 5" xfId="5030" xr:uid="{00000000-0005-0000-0000-0000A6130000}"/>
    <cellStyle name="Обычный 4 6" xfId="5031" xr:uid="{00000000-0005-0000-0000-0000A7130000}"/>
    <cellStyle name="Обычный 4 7" xfId="5032" xr:uid="{00000000-0005-0000-0000-0000A8130000}"/>
    <cellStyle name="Обычный 4 8" xfId="5033" xr:uid="{00000000-0005-0000-0000-0000A9130000}"/>
    <cellStyle name="Обычный 4 9" xfId="5034" xr:uid="{00000000-0005-0000-0000-0000AA130000}"/>
    <cellStyle name="Обычный 4_Исходные данные для модели" xfId="5035" xr:uid="{00000000-0005-0000-0000-0000AB130000}"/>
    <cellStyle name="Обычный 40 2" xfId="5036" xr:uid="{00000000-0005-0000-0000-0000AC130000}"/>
    <cellStyle name="Обычный 40 3" xfId="5037" xr:uid="{00000000-0005-0000-0000-0000AD130000}"/>
    <cellStyle name="Обычный 407" xfId="5038" xr:uid="{00000000-0005-0000-0000-0000AE130000}"/>
    <cellStyle name="Обычный 41" xfId="5039" xr:uid="{00000000-0005-0000-0000-0000AF130000}"/>
    <cellStyle name="Обычный 41 2" xfId="5040" xr:uid="{00000000-0005-0000-0000-0000B0130000}"/>
    <cellStyle name="Обычный 41 3" xfId="5041" xr:uid="{00000000-0005-0000-0000-0000B1130000}"/>
    <cellStyle name="Обычный 411" xfId="5042" xr:uid="{00000000-0005-0000-0000-0000B2130000}"/>
    <cellStyle name="Обычный 412" xfId="5043" xr:uid="{00000000-0005-0000-0000-0000B3130000}"/>
    <cellStyle name="Обычный 415" xfId="5044" xr:uid="{00000000-0005-0000-0000-0000B4130000}"/>
    <cellStyle name="Обычный 419" xfId="5045" xr:uid="{00000000-0005-0000-0000-0000B5130000}"/>
    <cellStyle name="Обычный 42" xfId="5046" xr:uid="{00000000-0005-0000-0000-0000B6130000}"/>
    <cellStyle name="Обычный 42 2" xfId="5047" xr:uid="{00000000-0005-0000-0000-0000B7130000}"/>
    <cellStyle name="Обычный 421" xfId="5048" xr:uid="{00000000-0005-0000-0000-0000B8130000}"/>
    <cellStyle name="Обычный 424" xfId="5049" xr:uid="{00000000-0005-0000-0000-0000B9130000}"/>
    <cellStyle name="Обычный 426" xfId="5050" xr:uid="{00000000-0005-0000-0000-0000BA130000}"/>
    <cellStyle name="Обычный 428" xfId="5051" xr:uid="{00000000-0005-0000-0000-0000BB130000}"/>
    <cellStyle name="Обычный 432" xfId="5052" xr:uid="{00000000-0005-0000-0000-0000BC130000}"/>
    <cellStyle name="Обычный 438" xfId="5053" xr:uid="{00000000-0005-0000-0000-0000BD130000}"/>
    <cellStyle name="Обычный 439" xfId="5054" xr:uid="{00000000-0005-0000-0000-0000BE130000}"/>
    <cellStyle name="Обычный 442" xfId="5055" xr:uid="{00000000-0005-0000-0000-0000BF130000}"/>
    <cellStyle name="Обычный 446" xfId="5056" xr:uid="{00000000-0005-0000-0000-0000C0130000}"/>
    <cellStyle name="Обычный 45" xfId="5057" xr:uid="{00000000-0005-0000-0000-0000C1130000}"/>
    <cellStyle name="Обычный 45 2" xfId="5058" xr:uid="{00000000-0005-0000-0000-0000C2130000}"/>
    <cellStyle name="Обычный 451" xfId="5059" xr:uid="{00000000-0005-0000-0000-0000C3130000}"/>
    <cellStyle name="Обычный 453" xfId="5060" xr:uid="{00000000-0005-0000-0000-0000C4130000}"/>
    <cellStyle name="Обычный 455" xfId="5061" xr:uid="{00000000-0005-0000-0000-0000C5130000}"/>
    <cellStyle name="Обычный 458" xfId="5062" xr:uid="{00000000-0005-0000-0000-0000C6130000}"/>
    <cellStyle name="Обычный 46 2" xfId="5063" xr:uid="{00000000-0005-0000-0000-0000C7130000}"/>
    <cellStyle name="Обычный 463" xfId="5064" xr:uid="{00000000-0005-0000-0000-0000C8130000}"/>
    <cellStyle name="Обычный 466" xfId="5065" xr:uid="{00000000-0005-0000-0000-0000C9130000}"/>
    <cellStyle name="Обычный 468" xfId="5066" xr:uid="{00000000-0005-0000-0000-0000CA130000}"/>
    <cellStyle name="Обычный 47" xfId="5067" xr:uid="{00000000-0005-0000-0000-0000CB130000}"/>
    <cellStyle name="Обычный 47 2" xfId="5068" xr:uid="{00000000-0005-0000-0000-0000CC130000}"/>
    <cellStyle name="Обычный 471" xfId="5069" xr:uid="{00000000-0005-0000-0000-0000CD130000}"/>
    <cellStyle name="Обычный 472" xfId="5070" xr:uid="{00000000-0005-0000-0000-0000CE130000}"/>
    <cellStyle name="Обычный 473" xfId="5071" xr:uid="{00000000-0005-0000-0000-0000CF130000}"/>
    <cellStyle name="Обычный 477" xfId="5072" xr:uid="{00000000-0005-0000-0000-0000D0130000}"/>
    <cellStyle name="Обычный 479" xfId="5073" xr:uid="{00000000-0005-0000-0000-0000D1130000}"/>
    <cellStyle name="Обычный 481" xfId="5074" xr:uid="{00000000-0005-0000-0000-0000D2130000}"/>
    <cellStyle name="Обычный 485" xfId="5075" xr:uid="{00000000-0005-0000-0000-0000D3130000}"/>
    <cellStyle name="Обычный 488" xfId="5076" xr:uid="{00000000-0005-0000-0000-0000D4130000}"/>
    <cellStyle name="Обычный 5" xfId="5077" xr:uid="{00000000-0005-0000-0000-0000D5130000}"/>
    <cellStyle name="Обычный 5 10" xfId="5078" xr:uid="{00000000-0005-0000-0000-0000D6130000}"/>
    <cellStyle name="Обычный 5 11" xfId="5079" xr:uid="{00000000-0005-0000-0000-0000D7130000}"/>
    <cellStyle name="Обычный 5 12" xfId="5080" xr:uid="{00000000-0005-0000-0000-0000D8130000}"/>
    <cellStyle name="Обычный 5 13" xfId="5081" xr:uid="{00000000-0005-0000-0000-0000D9130000}"/>
    <cellStyle name="Обычный 5 14" xfId="5082" xr:uid="{00000000-0005-0000-0000-0000DA130000}"/>
    <cellStyle name="Обычный 5 15" xfId="5083" xr:uid="{00000000-0005-0000-0000-0000DB130000}"/>
    <cellStyle name="Обычный 5 2" xfId="5084" xr:uid="{00000000-0005-0000-0000-0000DC130000}"/>
    <cellStyle name="Обычный 5 2 2" xfId="5085" xr:uid="{00000000-0005-0000-0000-0000DD130000}"/>
    <cellStyle name="Обычный 5 2 2 2" xfId="5086" xr:uid="{00000000-0005-0000-0000-0000DE130000}"/>
    <cellStyle name="Обычный 5 2 2 3" xfId="5087" xr:uid="{00000000-0005-0000-0000-0000DF130000}"/>
    <cellStyle name="Обычный 5 2 2 4" xfId="5088" xr:uid="{00000000-0005-0000-0000-0000E0130000}"/>
    <cellStyle name="Обычный 5 2 2 5" xfId="5089" xr:uid="{00000000-0005-0000-0000-0000E1130000}"/>
    <cellStyle name="Обычный 5 2 3" xfId="5090" xr:uid="{00000000-0005-0000-0000-0000E2130000}"/>
    <cellStyle name="Обычный 5 2 3 2" xfId="5091" xr:uid="{00000000-0005-0000-0000-0000E3130000}"/>
    <cellStyle name="Обычный 5 2 4" xfId="5092" xr:uid="{00000000-0005-0000-0000-0000E4130000}"/>
    <cellStyle name="Обычный 5 2 4 2" xfId="5093" xr:uid="{00000000-0005-0000-0000-0000E5130000}"/>
    <cellStyle name="Обычный 5 2 5" xfId="5094" xr:uid="{00000000-0005-0000-0000-0000E6130000}"/>
    <cellStyle name="Обычный 5 2 5 2" xfId="5095" xr:uid="{00000000-0005-0000-0000-0000E7130000}"/>
    <cellStyle name="Обычный 5 2 6" xfId="5096" xr:uid="{00000000-0005-0000-0000-0000E8130000}"/>
    <cellStyle name="Обычный 5 2 6 2" xfId="5097" xr:uid="{00000000-0005-0000-0000-0000E9130000}"/>
    <cellStyle name="Обычный 5 3" xfId="5098" xr:uid="{00000000-0005-0000-0000-0000EA130000}"/>
    <cellStyle name="Обычный 5 3 2" xfId="5099" xr:uid="{00000000-0005-0000-0000-0000EB130000}"/>
    <cellStyle name="Обычный 5 3 2 2" xfId="5100" xr:uid="{00000000-0005-0000-0000-0000EC130000}"/>
    <cellStyle name="Обычный 5 3 2 3" xfId="5101" xr:uid="{00000000-0005-0000-0000-0000ED130000}"/>
    <cellStyle name="Обычный 5 3 2 4" xfId="5102" xr:uid="{00000000-0005-0000-0000-0000EE130000}"/>
    <cellStyle name="Обычный 5 3 3" xfId="5103" xr:uid="{00000000-0005-0000-0000-0000EF130000}"/>
    <cellStyle name="Обычный 5 3 4" xfId="5104" xr:uid="{00000000-0005-0000-0000-0000F0130000}"/>
    <cellStyle name="Обычный 5 3 5" xfId="5105" xr:uid="{00000000-0005-0000-0000-0000F1130000}"/>
    <cellStyle name="Обычный 5 3 6" xfId="5106" xr:uid="{00000000-0005-0000-0000-0000F2130000}"/>
    <cellStyle name="Обычный 5 3 7" xfId="5107" xr:uid="{00000000-0005-0000-0000-0000F3130000}"/>
    <cellStyle name="Обычный 5 4" xfId="5108" xr:uid="{00000000-0005-0000-0000-0000F4130000}"/>
    <cellStyle name="Обычный 5 4 2" xfId="5109" xr:uid="{00000000-0005-0000-0000-0000F5130000}"/>
    <cellStyle name="Обычный 5 4 3" xfId="5110" xr:uid="{00000000-0005-0000-0000-0000F6130000}"/>
    <cellStyle name="Обычный 5 4 4" xfId="5111" xr:uid="{00000000-0005-0000-0000-0000F7130000}"/>
    <cellStyle name="Обычный 5 4 5" xfId="5112" xr:uid="{00000000-0005-0000-0000-0000F8130000}"/>
    <cellStyle name="Обычный 5 5" xfId="5113" xr:uid="{00000000-0005-0000-0000-0000F9130000}"/>
    <cellStyle name="Обычный 5 5 2" xfId="5114" xr:uid="{00000000-0005-0000-0000-0000FA130000}"/>
    <cellStyle name="Обычный 5 6" xfId="5115" xr:uid="{00000000-0005-0000-0000-0000FB130000}"/>
    <cellStyle name="Обычный 5 6 2" xfId="5116" xr:uid="{00000000-0005-0000-0000-0000FC130000}"/>
    <cellStyle name="Обычный 5 7" xfId="5117" xr:uid="{00000000-0005-0000-0000-0000FD130000}"/>
    <cellStyle name="Обычный 5 7 2" xfId="5118" xr:uid="{00000000-0005-0000-0000-0000FE130000}"/>
    <cellStyle name="Обычный 5 8" xfId="5119" xr:uid="{00000000-0005-0000-0000-0000FF130000}"/>
    <cellStyle name="Обычный 5 8 2" xfId="5120" xr:uid="{00000000-0005-0000-0000-000000140000}"/>
    <cellStyle name="Обычный 5 9" xfId="5121" xr:uid="{00000000-0005-0000-0000-000001140000}"/>
    <cellStyle name="Обычный 5_2355 Голубева" xfId="5122" xr:uid="{00000000-0005-0000-0000-000002140000}"/>
    <cellStyle name="Обычный 50 2" xfId="5123" xr:uid="{00000000-0005-0000-0000-000003140000}"/>
    <cellStyle name="Обычный 501" xfId="5124" xr:uid="{00000000-0005-0000-0000-000004140000}"/>
    <cellStyle name="Обычный 502" xfId="5125" xr:uid="{00000000-0005-0000-0000-000005140000}"/>
    <cellStyle name="Обычный 503" xfId="5126" xr:uid="{00000000-0005-0000-0000-000006140000}"/>
    <cellStyle name="Обычный 506" xfId="5127" xr:uid="{00000000-0005-0000-0000-000007140000}"/>
    <cellStyle name="Обычный 51" xfId="5128" xr:uid="{00000000-0005-0000-0000-000008140000}"/>
    <cellStyle name="Обычный 51 10" xfId="5129" xr:uid="{00000000-0005-0000-0000-000009140000}"/>
    <cellStyle name="Обычный 51 2" xfId="5130" xr:uid="{00000000-0005-0000-0000-00000A140000}"/>
    <cellStyle name="Обычный 510" xfId="5131" xr:uid="{00000000-0005-0000-0000-00000B140000}"/>
    <cellStyle name="Обычный 514" xfId="5132" xr:uid="{00000000-0005-0000-0000-00000C140000}"/>
    <cellStyle name="Обычный 515" xfId="5133" xr:uid="{00000000-0005-0000-0000-00000D140000}"/>
    <cellStyle name="Обычный 517" xfId="5134" xr:uid="{00000000-0005-0000-0000-00000E140000}"/>
    <cellStyle name="Обычный 52" xfId="5135" xr:uid="{00000000-0005-0000-0000-00000F140000}"/>
    <cellStyle name="Обычный 52 2" xfId="5136" xr:uid="{00000000-0005-0000-0000-000010140000}"/>
    <cellStyle name="Обычный 520" xfId="5137" xr:uid="{00000000-0005-0000-0000-000011140000}"/>
    <cellStyle name="Обычный 524" xfId="5138" xr:uid="{00000000-0005-0000-0000-000012140000}"/>
    <cellStyle name="Обычный 529" xfId="5139" xr:uid="{00000000-0005-0000-0000-000013140000}"/>
    <cellStyle name="Обычный 53 2" xfId="5140" xr:uid="{00000000-0005-0000-0000-000014140000}"/>
    <cellStyle name="Обычный 531" xfId="5141" xr:uid="{00000000-0005-0000-0000-000015140000}"/>
    <cellStyle name="Обычный 533" xfId="5142" xr:uid="{00000000-0005-0000-0000-000016140000}"/>
    <cellStyle name="Обычный 537" xfId="5143" xr:uid="{00000000-0005-0000-0000-000017140000}"/>
    <cellStyle name="Обычный 54 2" xfId="5144" xr:uid="{00000000-0005-0000-0000-000018140000}"/>
    <cellStyle name="Обычный 54 3" xfId="5145" xr:uid="{00000000-0005-0000-0000-000019140000}"/>
    <cellStyle name="Обычный 543" xfId="5146" xr:uid="{00000000-0005-0000-0000-00001A140000}"/>
    <cellStyle name="Обычный 545" xfId="5147" xr:uid="{00000000-0005-0000-0000-00001B140000}"/>
    <cellStyle name="Обычный 549" xfId="5148" xr:uid="{00000000-0005-0000-0000-00001C140000}"/>
    <cellStyle name="Обычный 552" xfId="5149" xr:uid="{00000000-0005-0000-0000-00001D140000}"/>
    <cellStyle name="Обычный 553" xfId="5150" xr:uid="{00000000-0005-0000-0000-00001E140000}"/>
    <cellStyle name="Обычный 557" xfId="5151" xr:uid="{00000000-0005-0000-0000-00001F140000}"/>
    <cellStyle name="Обычный 56 2" xfId="5152" xr:uid="{00000000-0005-0000-0000-000020140000}"/>
    <cellStyle name="Обычный 560" xfId="5153" xr:uid="{00000000-0005-0000-0000-000021140000}"/>
    <cellStyle name="Обычный 563" xfId="5154" xr:uid="{00000000-0005-0000-0000-000022140000}"/>
    <cellStyle name="Обычный 566" xfId="5155" xr:uid="{00000000-0005-0000-0000-000023140000}"/>
    <cellStyle name="Обычный 567" xfId="5156" xr:uid="{00000000-0005-0000-0000-000024140000}"/>
    <cellStyle name="Обычный 57" xfId="5157" xr:uid="{00000000-0005-0000-0000-000025140000}"/>
    <cellStyle name="Обычный 57 2" xfId="5158" xr:uid="{00000000-0005-0000-0000-000026140000}"/>
    <cellStyle name="Обычный 571" xfId="5159" xr:uid="{00000000-0005-0000-0000-000027140000}"/>
    <cellStyle name="Обычный 572" xfId="5160" xr:uid="{00000000-0005-0000-0000-000028140000}"/>
    <cellStyle name="Обычный 573" xfId="5161" xr:uid="{00000000-0005-0000-0000-000029140000}"/>
    <cellStyle name="Обычный 578" xfId="5162" xr:uid="{00000000-0005-0000-0000-00002A140000}"/>
    <cellStyle name="Обычный 581" xfId="5163" xr:uid="{00000000-0005-0000-0000-00002B140000}"/>
    <cellStyle name="Обычный 583" xfId="5164" xr:uid="{00000000-0005-0000-0000-00002C140000}"/>
    <cellStyle name="Обычный 585" xfId="5165" xr:uid="{00000000-0005-0000-0000-00002D140000}"/>
    <cellStyle name="Обычный 587" xfId="5166" xr:uid="{00000000-0005-0000-0000-00002E140000}"/>
    <cellStyle name="Обычный 59" xfId="5167" xr:uid="{00000000-0005-0000-0000-00002F140000}"/>
    <cellStyle name="Обычный 59 2" xfId="5168" xr:uid="{00000000-0005-0000-0000-000030140000}"/>
    <cellStyle name="Обычный 591" xfId="5169" xr:uid="{00000000-0005-0000-0000-000031140000}"/>
    <cellStyle name="Обычный 592" xfId="5170" xr:uid="{00000000-0005-0000-0000-000032140000}"/>
    <cellStyle name="Обычный 596" xfId="5171" xr:uid="{00000000-0005-0000-0000-000033140000}"/>
    <cellStyle name="Обычный 598" xfId="5172" xr:uid="{00000000-0005-0000-0000-000034140000}"/>
    <cellStyle name="Обычный 6" xfId="5173" xr:uid="{00000000-0005-0000-0000-000035140000}"/>
    <cellStyle name="Обычный 6 10" xfId="5174" xr:uid="{00000000-0005-0000-0000-000036140000}"/>
    <cellStyle name="Обычный 6 11" xfId="5175" xr:uid="{00000000-0005-0000-0000-000037140000}"/>
    <cellStyle name="Обычный 6 12" xfId="5176" xr:uid="{00000000-0005-0000-0000-000038140000}"/>
    <cellStyle name="Обычный 6 13" xfId="5177" xr:uid="{00000000-0005-0000-0000-000039140000}"/>
    <cellStyle name="Обычный 6 14" xfId="5178" xr:uid="{00000000-0005-0000-0000-00003A140000}"/>
    <cellStyle name="Обычный 6 2" xfId="5179" xr:uid="{00000000-0005-0000-0000-00003B140000}"/>
    <cellStyle name="Обычный 6 2 2" xfId="5180" xr:uid="{00000000-0005-0000-0000-00003C140000}"/>
    <cellStyle name="Обычный 6 2 2 2" xfId="5181" xr:uid="{00000000-0005-0000-0000-00003D140000}"/>
    <cellStyle name="Обычный 6 2 3" xfId="5182" xr:uid="{00000000-0005-0000-0000-00003E140000}"/>
    <cellStyle name="Обычный 6 2 4" xfId="5183" xr:uid="{00000000-0005-0000-0000-00003F140000}"/>
    <cellStyle name="Обычный 6 3" xfId="5184" xr:uid="{00000000-0005-0000-0000-000040140000}"/>
    <cellStyle name="Обычный 6 3 2" xfId="5185" xr:uid="{00000000-0005-0000-0000-000041140000}"/>
    <cellStyle name="Обычный 6 3 3" xfId="5186" xr:uid="{00000000-0005-0000-0000-000042140000}"/>
    <cellStyle name="Обычный 6 3 4" xfId="5187" xr:uid="{00000000-0005-0000-0000-000043140000}"/>
    <cellStyle name="Обычный 6 4" xfId="5188" xr:uid="{00000000-0005-0000-0000-000044140000}"/>
    <cellStyle name="Обычный 6 4 2" xfId="5189" xr:uid="{00000000-0005-0000-0000-000045140000}"/>
    <cellStyle name="Обычный 6 5" xfId="5190" xr:uid="{00000000-0005-0000-0000-000046140000}"/>
    <cellStyle name="Обычный 6 6" xfId="5191" xr:uid="{00000000-0005-0000-0000-000047140000}"/>
    <cellStyle name="Обычный 6 7" xfId="5192" xr:uid="{00000000-0005-0000-0000-000048140000}"/>
    <cellStyle name="Обычный 6 8" xfId="5193" xr:uid="{00000000-0005-0000-0000-000049140000}"/>
    <cellStyle name="Обычный 6 9" xfId="5194" xr:uid="{00000000-0005-0000-0000-00004A140000}"/>
    <cellStyle name="Обычный 601" xfId="5195" xr:uid="{00000000-0005-0000-0000-00004B140000}"/>
    <cellStyle name="Обычный 603" xfId="5196" xr:uid="{00000000-0005-0000-0000-00004C140000}"/>
    <cellStyle name="Обычный 604" xfId="5197" xr:uid="{00000000-0005-0000-0000-00004D140000}"/>
    <cellStyle name="Обычный 605" xfId="5198" xr:uid="{00000000-0005-0000-0000-00004E140000}"/>
    <cellStyle name="Обычный 606" xfId="5199" xr:uid="{00000000-0005-0000-0000-00004F140000}"/>
    <cellStyle name="Обычный 607" xfId="5200" xr:uid="{00000000-0005-0000-0000-000050140000}"/>
    <cellStyle name="Обычный 608" xfId="5201" xr:uid="{00000000-0005-0000-0000-000051140000}"/>
    <cellStyle name="Обычный 609" xfId="5202" xr:uid="{00000000-0005-0000-0000-000052140000}"/>
    <cellStyle name="Обычный 610" xfId="5203" xr:uid="{00000000-0005-0000-0000-000053140000}"/>
    <cellStyle name="Обычный 611" xfId="5204" xr:uid="{00000000-0005-0000-0000-000054140000}"/>
    <cellStyle name="Обычный 612" xfId="5205" xr:uid="{00000000-0005-0000-0000-000055140000}"/>
    <cellStyle name="Обычный 613" xfId="5206" xr:uid="{00000000-0005-0000-0000-000056140000}"/>
    <cellStyle name="Обычный 614" xfId="5207" xr:uid="{00000000-0005-0000-0000-000057140000}"/>
    <cellStyle name="Обычный 615" xfId="5208" xr:uid="{00000000-0005-0000-0000-000058140000}"/>
    <cellStyle name="Обычный 616" xfId="5209" xr:uid="{00000000-0005-0000-0000-000059140000}"/>
    <cellStyle name="Обычный 617" xfId="5210" xr:uid="{00000000-0005-0000-0000-00005A140000}"/>
    <cellStyle name="Обычный 618" xfId="5211" xr:uid="{00000000-0005-0000-0000-00005B140000}"/>
    <cellStyle name="Обычный 619" xfId="5212" xr:uid="{00000000-0005-0000-0000-00005C140000}"/>
    <cellStyle name="Обычный 62" xfId="5213" xr:uid="{00000000-0005-0000-0000-00005D140000}"/>
    <cellStyle name="Обычный 62 2" xfId="5214" xr:uid="{00000000-0005-0000-0000-00005E140000}"/>
    <cellStyle name="Обычный 620" xfId="5215" xr:uid="{00000000-0005-0000-0000-00005F140000}"/>
    <cellStyle name="Обычный 622" xfId="5216" xr:uid="{00000000-0005-0000-0000-000060140000}"/>
    <cellStyle name="Обычный 624" xfId="5217" xr:uid="{00000000-0005-0000-0000-000061140000}"/>
    <cellStyle name="Обычный 626" xfId="5218" xr:uid="{00000000-0005-0000-0000-000062140000}"/>
    <cellStyle name="Обычный 63" xfId="5219" xr:uid="{00000000-0005-0000-0000-000063140000}"/>
    <cellStyle name="Обычный 63 2" xfId="5220" xr:uid="{00000000-0005-0000-0000-000064140000}"/>
    <cellStyle name="Обычный 630" xfId="5221" xr:uid="{00000000-0005-0000-0000-000065140000}"/>
    <cellStyle name="Обычный 636" xfId="5222" xr:uid="{00000000-0005-0000-0000-000066140000}"/>
    <cellStyle name="Обычный 638" xfId="5223" xr:uid="{00000000-0005-0000-0000-000067140000}"/>
    <cellStyle name="Обычный 640" xfId="5224" xr:uid="{00000000-0005-0000-0000-000068140000}"/>
    <cellStyle name="Обычный 641" xfId="5225" xr:uid="{00000000-0005-0000-0000-000069140000}"/>
    <cellStyle name="Обычный 642" xfId="5226" xr:uid="{00000000-0005-0000-0000-00006A140000}"/>
    <cellStyle name="Обычный 643" xfId="5227" xr:uid="{00000000-0005-0000-0000-00006B140000}"/>
    <cellStyle name="Обычный 644" xfId="5228" xr:uid="{00000000-0005-0000-0000-00006C140000}"/>
    <cellStyle name="Обычный 645" xfId="5229" xr:uid="{00000000-0005-0000-0000-00006D140000}"/>
    <cellStyle name="Обычный 646" xfId="5230" xr:uid="{00000000-0005-0000-0000-00006E140000}"/>
    <cellStyle name="Обычный 647" xfId="5231" xr:uid="{00000000-0005-0000-0000-00006F140000}"/>
    <cellStyle name="Обычный 648" xfId="5232" xr:uid="{00000000-0005-0000-0000-000070140000}"/>
    <cellStyle name="Обычный 649" xfId="5233" xr:uid="{00000000-0005-0000-0000-000071140000}"/>
    <cellStyle name="Обычный 65 2" xfId="5234" xr:uid="{00000000-0005-0000-0000-000072140000}"/>
    <cellStyle name="Обычный 650" xfId="5235" xr:uid="{00000000-0005-0000-0000-000073140000}"/>
    <cellStyle name="Обычный 651" xfId="5236" xr:uid="{00000000-0005-0000-0000-000074140000}"/>
    <cellStyle name="Обычный 652" xfId="5237" xr:uid="{00000000-0005-0000-0000-000075140000}"/>
    <cellStyle name="Обычный 653" xfId="5238" xr:uid="{00000000-0005-0000-0000-000076140000}"/>
    <cellStyle name="Обычный 657" xfId="5239" xr:uid="{00000000-0005-0000-0000-000077140000}"/>
    <cellStyle name="Обычный 66" xfId="5240" xr:uid="{00000000-0005-0000-0000-000078140000}"/>
    <cellStyle name="Обычный 663" xfId="5241" xr:uid="{00000000-0005-0000-0000-000079140000}"/>
    <cellStyle name="Обычный 665" xfId="5242" xr:uid="{00000000-0005-0000-0000-00007A140000}"/>
    <cellStyle name="Обычный 667" xfId="5243" xr:uid="{00000000-0005-0000-0000-00007B140000}"/>
    <cellStyle name="Обычный 67" xfId="5244" xr:uid="{00000000-0005-0000-0000-00007C140000}"/>
    <cellStyle name="Обычный 67 2" xfId="5245" xr:uid="{00000000-0005-0000-0000-00007D140000}"/>
    <cellStyle name="Обычный 670" xfId="5246" xr:uid="{00000000-0005-0000-0000-00007E140000}"/>
    <cellStyle name="Обычный 671" xfId="5247" xr:uid="{00000000-0005-0000-0000-00007F140000}"/>
    <cellStyle name="Обычный 672" xfId="5248" xr:uid="{00000000-0005-0000-0000-000080140000}"/>
    <cellStyle name="Обычный 673" xfId="5249" xr:uid="{00000000-0005-0000-0000-000081140000}"/>
    <cellStyle name="Обычный 676" xfId="5250" xr:uid="{00000000-0005-0000-0000-000082140000}"/>
    <cellStyle name="Обычный 678" xfId="5251" xr:uid="{00000000-0005-0000-0000-000083140000}"/>
    <cellStyle name="Обычный 680" xfId="5252" xr:uid="{00000000-0005-0000-0000-000084140000}"/>
    <cellStyle name="Обычный 682" xfId="5253" xr:uid="{00000000-0005-0000-0000-000085140000}"/>
    <cellStyle name="Обычный 683" xfId="5254" xr:uid="{00000000-0005-0000-0000-000086140000}"/>
    <cellStyle name="Обычный 684" xfId="5255" xr:uid="{00000000-0005-0000-0000-000087140000}"/>
    <cellStyle name="Обычный 685" xfId="5256" xr:uid="{00000000-0005-0000-0000-000088140000}"/>
    <cellStyle name="Обычный 686" xfId="5257" xr:uid="{00000000-0005-0000-0000-000089140000}"/>
    <cellStyle name="Обычный 687" xfId="5258" xr:uid="{00000000-0005-0000-0000-00008A140000}"/>
    <cellStyle name="Обычный 688" xfId="5259" xr:uid="{00000000-0005-0000-0000-00008B140000}"/>
    <cellStyle name="Обычный 689" xfId="5260" xr:uid="{00000000-0005-0000-0000-00008C140000}"/>
    <cellStyle name="Обычный 691" xfId="5261" xr:uid="{00000000-0005-0000-0000-00008D140000}"/>
    <cellStyle name="Обычный 692" xfId="5262" xr:uid="{00000000-0005-0000-0000-00008E140000}"/>
    <cellStyle name="Обычный 695" xfId="5263" xr:uid="{00000000-0005-0000-0000-00008F140000}"/>
    <cellStyle name="Обычный 7" xfId="5264" xr:uid="{00000000-0005-0000-0000-000090140000}"/>
    <cellStyle name="Обычный 7 10" xfId="5265" xr:uid="{00000000-0005-0000-0000-000091140000}"/>
    <cellStyle name="Обычный 7 11" xfId="5266" xr:uid="{00000000-0005-0000-0000-000092140000}"/>
    <cellStyle name="Обычный 7 12" xfId="5267" xr:uid="{00000000-0005-0000-0000-000093140000}"/>
    <cellStyle name="Обычный 7 13" xfId="5268" xr:uid="{00000000-0005-0000-0000-000094140000}"/>
    <cellStyle name="Обычный 7 14" xfId="5269" xr:uid="{00000000-0005-0000-0000-000095140000}"/>
    <cellStyle name="Обычный 7 15" xfId="5270" xr:uid="{00000000-0005-0000-0000-000096140000}"/>
    <cellStyle name="Обычный 7 2" xfId="5271" xr:uid="{00000000-0005-0000-0000-000097140000}"/>
    <cellStyle name="Обычный 7 2 2" xfId="5272" xr:uid="{00000000-0005-0000-0000-000098140000}"/>
    <cellStyle name="Обычный 7 2 3" xfId="5273" xr:uid="{00000000-0005-0000-0000-000099140000}"/>
    <cellStyle name="Обычный 7 3" xfId="5274" xr:uid="{00000000-0005-0000-0000-00009A140000}"/>
    <cellStyle name="Обычный 7 3 2" xfId="5275" xr:uid="{00000000-0005-0000-0000-00009B140000}"/>
    <cellStyle name="Обычный 7 4" xfId="5276" xr:uid="{00000000-0005-0000-0000-00009C140000}"/>
    <cellStyle name="Обычный 7 4 2" xfId="5277" xr:uid="{00000000-0005-0000-0000-00009D140000}"/>
    <cellStyle name="Обычный 7 4 3" xfId="5278" xr:uid="{00000000-0005-0000-0000-00009E140000}"/>
    <cellStyle name="Обычный 7 5" xfId="5279" xr:uid="{00000000-0005-0000-0000-00009F140000}"/>
    <cellStyle name="Обычный 7 6" xfId="5280" xr:uid="{00000000-0005-0000-0000-0000A0140000}"/>
    <cellStyle name="Обычный 7 7" xfId="5281" xr:uid="{00000000-0005-0000-0000-0000A1140000}"/>
    <cellStyle name="Обычный 7 7 2" xfId="5282" xr:uid="{00000000-0005-0000-0000-0000A2140000}"/>
    <cellStyle name="Обычный 7 8" xfId="5283" xr:uid="{00000000-0005-0000-0000-0000A3140000}"/>
    <cellStyle name="Обычный 7 9" xfId="5284" xr:uid="{00000000-0005-0000-0000-0000A4140000}"/>
    <cellStyle name="Обычный 70" xfId="5285" xr:uid="{00000000-0005-0000-0000-0000A5140000}"/>
    <cellStyle name="Обычный 70 2" xfId="5286" xr:uid="{00000000-0005-0000-0000-0000A6140000}"/>
    <cellStyle name="Обычный 700" xfId="5287" xr:uid="{00000000-0005-0000-0000-0000A7140000}"/>
    <cellStyle name="Обычный 701" xfId="5288" xr:uid="{00000000-0005-0000-0000-0000A8140000}"/>
    <cellStyle name="Обычный 704" xfId="5289" xr:uid="{00000000-0005-0000-0000-0000A9140000}"/>
    <cellStyle name="Обычный 710" xfId="5290" xr:uid="{00000000-0005-0000-0000-0000AA140000}"/>
    <cellStyle name="Обычный 711" xfId="5291" xr:uid="{00000000-0005-0000-0000-0000AB140000}"/>
    <cellStyle name="Обычный 712" xfId="5292" xr:uid="{00000000-0005-0000-0000-0000AC140000}"/>
    <cellStyle name="Обычный 715" xfId="5293" xr:uid="{00000000-0005-0000-0000-0000AD140000}"/>
    <cellStyle name="Обычный 716" xfId="5294" xr:uid="{00000000-0005-0000-0000-0000AE140000}"/>
    <cellStyle name="Обычный 72" xfId="5295" xr:uid="{00000000-0005-0000-0000-0000AF140000}"/>
    <cellStyle name="Обычный 721" xfId="5296" xr:uid="{00000000-0005-0000-0000-0000B0140000}"/>
    <cellStyle name="Обычный 722" xfId="5297" xr:uid="{00000000-0005-0000-0000-0000B1140000}"/>
    <cellStyle name="Обычный 723" xfId="5298" xr:uid="{00000000-0005-0000-0000-0000B2140000}"/>
    <cellStyle name="Обычный 725" xfId="5299" xr:uid="{00000000-0005-0000-0000-0000B3140000}"/>
    <cellStyle name="Обычный 727" xfId="5300" xr:uid="{00000000-0005-0000-0000-0000B4140000}"/>
    <cellStyle name="Обычный 73" xfId="5301" xr:uid="{00000000-0005-0000-0000-0000B5140000}"/>
    <cellStyle name="Обычный 73 2" xfId="5302" xr:uid="{00000000-0005-0000-0000-0000B6140000}"/>
    <cellStyle name="Обычный 733" xfId="5303" xr:uid="{00000000-0005-0000-0000-0000B7140000}"/>
    <cellStyle name="Обычный 734" xfId="5304" xr:uid="{00000000-0005-0000-0000-0000B8140000}"/>
    <cellStyle name="Обычный 735" xfId="5305" xr:uid="{00000000-0005-0000-0000-0000B9140000}"/>
    <cellStyle name="Обычный 737" xfId="5306" xr:uid="{00000000-0005-0000-0000-0000BA140000}"/>
    <cellStyle name="Обычный 74" xfId="5307" xr:uid="{00000000-0005-0000-0000-0000BB140000}"/>
    <cellStyle name="Обычный 74 2" xfId="5308" xr:uid="{00000000-0005-0000-0000-0000BC140000}"/>
    <cellStyle name="Обычный 740" xfId="5309" xr:uid="{00000000-0005-0000-0000-0000BD140000}"/>
    <cellStyle name="Обычный 741" xfId="5310" xr:uid="{00000000-0005-0000-0000-0000BE140000}"/>
    <cellStyle name="Обычный 742" xfId="5311" xr:uid="{00000000-0005-0000-0000-0000BF140000}"/>
    <cellStyle name="Обычный 743" xfId="5312" xr:uid="{00000000-0005-0000-0000-0000C0140000}"/>
    <cellStyle name="Обычный 744" xfId="5313" xr:uid="{00000000-0005-0000-0000-0000C1140000}"/>
    <cellStyle name="Обычный 747" xfId="5314" xr:uid="{00000000-0005-0000-0000-0000C2140000}"/>
    <cellStyle name="Обычный 748" xfId="5315" xr:uid="{00000000-0005-0000-0000-0000C3140000}"/>
    <cellStyle name="Обычный 749" xfId="5316" xr:uid="{00000000-0005-0000-0000-0000C4140000}"/>
    <cellStyle name="Обычный 750" xfId="5317" xr:uid="{00000000-0005-0000-0000-0000C5140000}"/>
    <cellStyle name="Обычный 751" xfId="5318" xr:uid="{00000000-0005-0000-0000-0000C6140000}"/>
    <cellStyle name="Обычный 752" xfId="5319" xr:uid="{00000000-0005-0000-0000-0000C7140000}"/>
    <cellStyle name="Обычный 753" xfId="5320" xr:uid="{00000000-0005-0000-0000-0000C8140000}"/>
    <cellStyle name="Обычный 754" xfId="5321" xr:uid="{00000000-0005-0000-0000-0000C9140000}"/>
    <cellStyle name="Обычный 755" xfId="5322" xr:uid="{00000000-0005-0000-0000-0000CA140000}"/>
    <cellStyle name="Обычный 757" xfId="5323" xr:uid="{00000000-0005-0000-0000-0000CB140000}"/>
    <cellStyle name="Обычный 758" xfId="5324" xr:uid="{00000000-0005-0000-0000-0000CC140000}"/>
    <cellStyle name="Обычный 76" xfId="5325" xr:uid="{00000000-0005-0000-0000-0000CD140000}"/>
    <cellStyle name="Обычный 762" xfId="5326" xr:uid="{00000000-0005-0000-0000-0000CE140000}"/>
    <cellStyle name="Обычный 763" xfId="5327" xr:uid="{00000000-0005-0000-0000-0000CF140000}"/>
    <cellStyle name="Обычный 764" xfId="5328" xr:uid="{00000000-0005-0000-0000-0000D0140000}"/>
    <cellStyle name="Обычный 767" xfId="5329" xr:uid="{00000000-0005-0000-0000-0000D1140000}"/>
    <cellStyle name="Обычный 77" xfId="5330" xr:uid="{00000000-0005-0000-0000-0000D2140000}"/>
    <cellStyle name="Обычный 77 2" xfId="5331" xr:uid="{00000000-0005-0000-0000-0000D3140000}"/>
    <cellStyle name="Обычный 778" xfId="5332" xr:uid="{00000000-0005-0000-0000-0000D4140000}"/>
    <cellStyle name="Обычный 779" xfId="5333" xr:uid="{00000000-0005-0000-0000-0000D5140000}"/>
    <cellStyle name="Обычный 780" xfId="5334" xr:uid="{00000000-0005-0000-0000-0000D6140000}"/>
    <cellStyle name="Обычный 781" xfId="5335" xr:uid="{00000000-0005-0000-0000-0000D7140000}"/>
    <cellStyle name="Обычный 782" xfId="5336" xr:uid="{00000000-0005-0000-0000-0000D8140000}"/>
    <cellStyle name="Обычный 783" xfId="5337" xr:uid="{00000000-0005-0000-0000-0000D9140000}"/>
    <cellStyle name="Обычный 784" xfId="5338" xr:uid="{00000000-0005-0000-0000-0000DA140000}"/>
    <cellStyle name="Обычный 785" xfId="5339" xr:uid="{00000000-0005-0000-0000-0000DB140000}"/>
    <cellStyle name="Обычный 787" xfId="5340" xr:uid="{00000000-0005-0000-0000-0000DC140000}"/>
    <cellStyle name="Обычный 79" xfId="5341" xr:uid="{00000000-0005-0000-0000-0000DD140000}"/>
    <cellStyle name="Обычный 79 2" xfId="5342" xr:uid="{00000000-0005-0000-0000-0000DE140000}"/>
    <cellStyle name="Обычный 8" xfId="5343" xr:uid="{00000000-0005-0000-0000-0000DF140000}"/>
    <cellStyle name="Обычный 8 10" xfId="5344" xr:uid="{00000000-0005-0000-0000-0000E0140000}"/>
    <cellStyle name="Обычный 8 11" xfId="5345" xr:uid="{00000000-0005-0000-0000-0000E1140000}"/>
    <cellStyle name="Обычный 8 12" xfId="5346" xr:uid="{00000000-0005-0000-0000-0000E2140000}"/>
    <cellStyle name="Обычный 8 13" xfId="5347" xr:uid="{00000000-0005-0000-0000-0000E3140000}"/>
    <cellStyle name="Обычный 8 14" xfId="5348" xr:uid="{00000000-0005-0000-0000-0000E4140000}"/>
    <cellStyle name="Обычный 8 15" xfId="5349" xr:uid="{00000000-0005-0000-0000-0000E5140000}"/>
    <cellStyle name="Обычный 8 2" xfId="5350" xr:uid="{00000000-0005-0000-0000-0000E6140000}"/>
    <cellStyle name="Обычный 8 2 2" xfId="5351" xr:uid="{00000000-0005-0000-0000-0000E7140000}"/>
    <cellStyle name="Обычный 8 2 3" xfId="5352" xr:uid="{00000000-0005-0000-0000-0000E8140000}"/>
    <cellStyle name="Обычный 8 3" xfId="5353" xr:uid="{00000000-0005-0000-0000-0000E9140000}"/>
    <cellStyle name="Обычный 8 3 2" xfId="5354" xr:uid="{00000000-0005-0000-0000-0000EA140000}"/>
    <cellStyle name="Обычный 8 3 3" xfId="5355" xr:uid="{00000000-0005-0000-0000-0000EB140000}"/>
    <cellStyle name="Обычный 8 4" xfId="5356" xr:uid="{00000000-0005-0000-0000-0000EC140000}"/>
    <cellStyle name="Обычный 8 5" xfId="5357" xr:uid="{00000000-0005-0000-0000-0000ED140000}"/>
    <cellStyle name="Обычный 8 5 2" xfId="5358" xr:uid="{00000000-0005-0000-0000-0000EE140000}"/>
    <cellStyle name="Обычный 8 6" xfId="5359" xr:uid="{00000000-0005-0000-0000-0000EF140000}"/>
    <cellStyle name="Обычный 8 7" xfId="5360" xr:uid="{00000000-0005-0000-0000-0000F0140000}"/>
    <cellStyle name="Обычный 8 8" xfId="5361" xr:uid="{00000000-0005-0000-0000-0000F1140000}"/>
    <cellStyle name="Обычный 8 9" xfId="5362" xr:uid="{00000000-0005-0000-0000-0000F2140000}"/>
    <cellStyle name="Обычный 81" xfId="5363" xr:uid="{00000000-0005-0000-0000-0000F3140000}"/>
    <cellStyle name="Обычный 82" xfId="5364" xr:uid="{00000000-0005-0000-0000-0000F4140000}"/>
    <cellStyle name="Обычный 82 2" xfId="5365" xr:uid="{00000000-0005-0000-0000-0000F5140000}"/>
    <cellStyle name="Обычный 83" xfId="5366" xr:uid="{00000000-0005-0000-0000-0000F6140000}"/>
    <cellStyle name="Обычный 85" xfId="5367" xr:uid="{00000000-0005-0000-0000-0000F7140000}"/>
    <cellStyle name="Обычный 85 2" xfId="5368" xr:uid="{00000000-0005-0000-0000-0000F8140000}"/>
    <cellStyle name="Обычный 86" xfId="5369" xr:uid="{00000000-0005-0000-0000-0000F9140000}"/>
    <cellStyle name="Обычный 86 2" xfId="5370" xr:uid="{00000000-0005-0000-0000-0000FA140000}"/>
    <cellStyle name="Обычный 87" xfId="5371" xr:uid="{00000000-0005-0000-0000-0000FB140000}"/>
    <cellStyle name="Обычный 87 2" xfId="5372" xr:uid="{00000000-0005-0000-0000-0000FC140000}"/>
    <cellStyle name="Обычный 9" xfId="5373" xr:uid="{00000000-0005-0000-0000-0000FD140000}"/>
    <cellStyle name="Обычный 9 2" xfId="5374" xr:uid="{00000000-0005-0000-0000-0000FE140000}"/>
    <cellStyle name="Обычный 9 2 2" xfId="5375" xr:uid="{00000000-0005-0000-0000-0000FF140000}"/>
    <cellStyle name="Обычный 9 3" xfId="5376" xr:uid="{00000000-0005-0000-0000-000000150000}"/>
    <cellStyle name="Обычный 9 3 2" xfId="5377" xr:uid="{00000000-0005-0000-0000-000001150000}"/>
    <cellStyle name="Обычный 92" xfId="5378" xr:uid="{00000000-0005-0000-0000-000002150000}"/>
    <cellStyle name="Обычный 92 2" xfId="5379" xr:uid="{00000000-0005-0000-0000-000003150000}"/>
    <cellStyle name="Обычный 96" xfId="5380" xr:uid="{00000000-0005-0000-0000-000004150000}"/>
    <cellStyle name="Обычный 97" xfId="5381" xr:uid="{00000000-0005-0000-0000-000005150000}"/>
    <cellStyle name="Обычный 97 2" xfId="5382" xr:uid="{00000000-0005-0000-0000-000006150000}"/>
    <cellStyle name="Обычный 98" xfId="5383" xr:uid="{00000000-0005-0000-0000-000007150000}"/>
    <cellStyle name="Обычный 98 2" xfId="5384" xr:uid="{00000000-0005-0000-0000-000008150000}"/>
    <cellStyle name="Параметр" xfId="5385" xr:uid="{00000000-0005-0000-0000-000009150000}"/>
    <cellStyle name="ПеременныеСметы" xfId="5386" xr:uid="{00000000-0005-0000-0000-00000A150000}"/>
    <cellStyle name="Плохой 10" xfId="5387" xr:uid="{00000000-0005-0000-0000-00000B150000}"/>
    <cellStyle name="Плохой 11" xfId="5388" xr:uid="{00000000-0005-0000-0000-00000C150000}"/>
    <cellStyle name="Плохой 12" xfId="5389" xr:uid="{00000000-0005-0000-0000-00000D150000}"/>
    <cellStyle name="Плохой 13" xfId="5390" xr:uid="{00000000-0005-0000-0000-00000E150000}"/>
    <cellStyle name="Плохой 14" xfId="5391" xr:uid="{00000000-0005-0000-0000-00000F150000}"/>
    <cellStyle name="Плохой 15" xfId="5392" xr:uid="{00000000-0005-0000-0000-000010150000}"/>
    <cellStyle name="Плохой 16" xfId="5393" xr:uid="{00000000-0005-0000-0000-000011150000}"/>
    <cellStyle name="Плохой 2" xfId="5394" xr:uid="{00000000-0005-0000-0000-000012150000}"/>
    <cellStyle name="Плохой 2 10" xfId="5395" xr:uid="{00000000-0005-0000-0000-000013150000}"/>
    <cellStyle name="Плохой 2 11" xfId="5396" xr:uid="{00000000-0005-0000-0000-000014150000}"/>
    <cellStyle name="Плохой 2 12" xfId="5397" xr:uid="{00000000-0005-0000-0000-000015150000}"/>
    <cellStyle name="Плохой 2 13" xfId="5398" xr:uid="{00000000-0005-0000-0000-000016150000}"/>
    <cellStyle name="Плохой 2 2" xfId="5399" xr:uid="{00000000-0005-0000-0000-000017150000}"/>
    <cellStyle name="Плохой 2 2 2" xfId="5400" xr:uid="{00000000-0005-0000-0000-000018150000}"/>
    <cellStyle name="Плохой 2 3" xfId="5401" xr:uid="{00000000-0005-0000-0000-000019150000}"/>
    <cellStyle name="Плохой 2 3 2" xfId="5402" xr:uid="{00000000-0005-0000-0000-00001A150000}"/>
    <cellStyle name="Плохой 2 4" xfId="5403" xr:uid="{00000000-0005-0000-0000-00001B150000}"/>
    <cellStyle name="Плохой 2 4 2" xfId="5404" xr:uid="{00000000-0005-0000-0000-00001C150000}"/>
    <cellStyle name="Плохой 2 5" xfId="5405" xr:uid="{00000000-0005-0000-0000-00001D150000}"/>
    <cellStyle name="Плохой 2 5 2" xfId="5406" xr:uid="{00000000-0005-0000-0000-00001E150000}"/>
    <cellStyle name="Плохой 2 6" xfId="5407" xr:uid="{00000000-0005-0000-0000-00001F150000}"/>
    <cellStyle name="Плохой 2 6 2" xfId="5408" xr:uid="{00000000-0005-0000-0000-000020150000}"/>
    <cellStyle name="Плохой 2 7" xfId="5409" xr:uid="{00000000-0005-0000-0000-000021150000}"/>
    <cellStyle name="Плохой 2 8" xfId="5410" xr:uid="{00000000-0005-0000-0000-000022150000}"/>
    <cellStyle name="Плохой 2 9" xfId="5411" xr:uid="{00000000-0005-0000-0000-000023150000}"/>
    <cellStyle name="Плохой 3" xfId="5412" xr:uid="{00000000-0005-0000-0000-000024150000}"/>
    <cellStyle name="Плохой 3 2" xfId="5413" xr:uid="{00000000-0005-0000-0000-000025150000}"/>
    <cellStyle name="Плохой 4" xfId="5414" xr:uid="{00000000-0005-0000-0000-000026150000}"/>
    <cellStyle name="Плохой 5" xfId="5415" xr:uid="{00000000-0005-0000-0000-000027150000}"/>
    <cellStyle name="Плохой 6" xfId="5416" xr:uid="{00000000-0005-0000-0000-000028150000}"/>
    <cellStyle name="Плохой 7" xfId="5417" xr:uid="{00000000-0005-0000-0000-000029150000}"/>
    <cellStyle name="Плохой 8" xfId="5418" xr:uid="{00000000-0005-0000-0000-00002A150000}"/>
    <cellStyle name="Плохой 9" xfId="5419" xr:uid="{00000000-0005-0000-0000-00002B150000}"/>
    <cellStyle name="По центру с переносом" xfId="5420" xr:uid="{00000000-0005-0000-0000-00002C150000}"/>
    <cellStyle name="По ширине с переносом" xfId="5421" xr:uid="{00000000-0005-0000-0000-00002D150000}"/>
    <cellStyle name="Поле ввода" xfId="5422" xr:uid="{00000000-0005-0000-0000-00002E150000}"/>
    <cellStyle name="Пояснение 10" xfId="5423" xr:uid="{00000000-0005-0000-0000-00002F150000}"/>
    <cellStyle name="Пояснение 11" xfId="5424" xr:uid="{00000000-0005-0000-0000-000030150000}"/>
    <cellStyle name="Пояснение 12" xfId="5425" xr:uid="{00000000-0005-0000-0000-000031150000}"/>
    <cellStyle name="Пояснение 13" xfId="5426" xr:uid="{00000000-0005-0000-0000-000032150000}"/>
    <cellStyle name="Пояснение 14" xfId="5427" xr:uid="{00000000-0005-0000-0000-000033150000}"/>
    <cellStyle name="Пояснение 15" xfId="5428" xr:uid="{00000000-0005-0000-0000-000034150000}"/>
    <cellStyle name="Пояснение 16" xfId="5429" xr:uid="{00000000-0005-0000-0000-000035150000}"/>
    <cellStyle name="Пояснение 2" xfId="5430" xr:uid="{00000000-0005-0000-0000-000036150000}"/>
    <cellStyle name="Пояснение 2 10" xfId="5431" xr:uid="{00000000-0005-0000-0000-000037150000}"/>
    <cellStyle name="Пояснение 2 11" xfId="5432" xr:uid="{00000000-0005-0000-0000-000038150000}"/>
    <cellStyle name="Пояснение 2 12" xfId="5433" xr:uid="{00000000-0005-0000-0000-000039150000}"/>
    <cellStyle name="Пояснение 2 13" xfId="5434" xr:uid="{00000000-0005-0000-0000-00003A150000}"/>
    <cellStyle name="Пояснение 2 2" xfId="5435" xr:uid="{00000000-0005-0000-0000-00003B150000}"/>
    <cellStyle name="Пояснение 2 2 2" xfId="5436" xr:uid="{00000000-0005-0000-0000-00003C150000}"/>
    <cellStyle name="Пояснение 2 3" xfId="5437" xr:uid="{00000000-0005-0000-0000-00003D150000}"/>
    <cellStyle name="Пояснение 2 3 2" xfId="5438" xr:uid="{00000000-0005-0000-0000-00003E150000}"/>
    <cellStyle name="Пояснение 2 4" xfId="5439" xr:uid="{00000000-0005-0000-0000-00003F150000}"/>
    <cellStyle name="Пояснение 2 4 2" xfId="5440" xr:uid="{00000000-0005-0000-0000-000040150000}"/>
    <cellStyle name="Пояснение 2 5" xfId="5441" xr:uid="{00000000-0005-0000-0000-000041150000}"/>
    <cellStyle name="Пояснение 2 5 2" xfId="5442" xr:uid="{00000000-0005-0000-0000-000042150000}"/>
    <cellStyle name="Пояснение 2 6" xfId="5443" xr:uid="{00000000-0005-0000-0000-000043150000}"/>
    <cellStyle name="Пояснение 2 6 2" xfId="5444" xr:uid="{00000000-0005-0000-0000-000044150000}"/>
    <cellStyle name="Пояснение 2 7" xfId="5445" xr:uid="{00000000-0005-0000-0000-000045150000}"/>
    <cellStyle name="Пояснение 2 8" xfId="5446" xr:uid="{00000000-0005-0000-0000-000046150000}"/>
    <cellStyle name="Пояснение 2 9" xfId="5447" xr:uid="{00000000-0005-0000-0000-000047150000}"/>
    <cellStyle name="Пояснение 3" xfId="5448" xr:uid="{00000000-0005-0000-0000-000048150000}"/>
    <cellStyle name="Пояснение 3 2" xfId="5449" xr:uid="{00000000-0005-0000-0000-000049150000}"/>
    <cellStyle name="Пояснение 4" xfId="5450" xr:uid="{00000000-0005-0000-0000-00004A150000}"/>
    <cellStyle name="Пояснение 5" xfId="5451" xr:uid="{00000000-0005-0000-0000-00004B150000}"/>
    <cellStyle name="Пояснение 6" xfId="5452" xr:uid="{00000000-0005-0000-0000-00004C150000}"/>
    <cellStyle name="Пояснение 7" xfId="5453" xr:uid="{00000000-0005-0000-0000-00004D150000}"/>
    <cellStyle name="Пояснение 8" xfId="5454" xr:uid="{00000000-0005-0000-0000-00004E150000}"/>
    <cellStyle name="Пояснение 9" xfId="5455" xr:uid="{00000000-0005-0000-0000-00004F150000}"/>
    <cellStyle name="Примечание 10" xfId="5456" xr:uid="{00000000-0005-0000-0000-000050150000}"/>
    <cellStyle name="Примечание 10 2" xfId="5457" xr:uid="{00000000-0005-0000-0000-000051150000}"/>
    <cellStyle name="Примечание 10 2 2" xfId="5458" xr:uid="{00000000-0005-0000-0000-000052150000}"/>
    <cellStyle name="Примечание 10 3" xfId="5459" xr:uid="{00000000-0005-0000-0000-000053150000}"/>
    <cellStyle name="Примечание 10 4" xfId="5460" xr:uid="{00000000-0005-0000-0000-000054150000}"/>
    <cellStyle name="Примечание 10 5" xfId="5461" xr:uid="{00000000-0005-0000-0000-000055150000}"/>
    <cellStyle name="Примечание 10 6" xfId="5462" xr:uid="{00000000-0005-0000-0000-000056150000}"/>
    <cellStyle name="Примечание 11" xfId="5463" xr:uid="{00000000-0005-0000-0000-000057150000}"/>
    <cellStyle name="Примечание 11 2" xfId="5464" xr:uid="{00000000-0005-0000-0000-000058150000}"/>
    <cellStyle name="Примечание 12" xfId="5465" xr:uid="{00000000-0005-0000-0000-000059150000}"/>
    <cellStyle name="Примечание 12 2" xfId="5466" xr:uid="{00000000-0005-0000-0000-00005A150000}"/>
    <cellStyle name="Примечание 13" xfId="5467" xr:uid="{00000000-0005-0000-0000-00005B150000}"/>
    <cellStyle name="Примечание 13 2" xfId="5468" xr:uid="{00000000-0005-0000-0000-00005C150000}"/>
    <cellStyle name="Примечание 14" xfId="5469" xr:uid="{00000000-0005-0000-0000-00005D150000}"/>
    <cellStyle name="Примечание 14 2" xfId="5470" xr:uid="{00000000-0005-0000-0000-00005E150000}"/>
    <cellStyle name="Примечание 15" xfId="5471" xr:uid="{00000000-0005-0000-0000-00005F150000}"/>
    <cellStyle name="Примечание 15 2" xfId="5472" xr:uid="{00000000-0005-0000-0000-000060150000}"/>
    <cellStyle name="Примечание 16" xfId="5473" xr:uid="{00000000-0005-0000-0000-000061150000}"/>
    <cellStyle name="Примечание 16 2" xfId="5474" xr:uid="{00000000-0005-0000-0000-000062150000}"/>
    <cellStyle name="Примечание 17" xfId="5475" xr:uid="{00000000-0005-0000-0000-000063150000}"/>
    <cellStyle name="Примечание 18" xfId="5476" xr:uid="{00000000-0005-0000-0000-000064150000}"/>
    <cellStyle name="Примечание 19" xfId="5477" xr:uid="{00000000-0005-0000-0000-000065150000}"/>
    <cellStyle name="Примечание 19 2" xfId="5478" xr:uid="{00000000-0005-0000-0000-000066150000}"/>
    <cellStyle name="Примечание 19 2 2" xfId="5479" xr:uid="{00000000-0005-0000-0000-000067150000}"/>
    <cellStyle name="Примечание 19 3" xfId="5480" xr:uid="{00000000-0005-0000-0000-000068150000}"/>
    <cellStyle name="Примечание 19 4" xfId="5481" xr:uid="{00000000-0005-0000-0000-000069150000}"/>
    <cellStyle name="Примечание 19 5" xfId="5482" xr:uid="{00000000-0005-0000-0000-00006A150000}"/>
    <cellStyle name="Примечание 2" xfId="5483" xr:uid="{00000000-0005-0000-0000-00006B150000}"/>
    <cellStyle name="Примечание 2 10" xfId="5484" xr:uid="{00000000-0005-0000-0000-00006C150000}"/>
    <cellStyle name="Примечание 2 11" xfId="5485" xr:uid="{00000000-0005-0000-0000-00006D150000}"/>
    <cellStyle name="Примечание 2 12" xfId="5486" xr:uid="{00000000-0005-0000-0000-00006E150000}"/>
    <cellStyle name="Примечание 2 13" xfId="5487" xr:uid="{00000000-0005-0000-0000-00006F150000}"/>
    <cellStyle name="Примечание 2 14" xfId="5488" xr:uid="{00000000-0005-0000-0000-000070150000}"/>
    <cellStyle name="Примечание 2 2" xfId="5489" xr:uid="{00000000-0005-0000-0000-000071150000}"/>
    <cellStyle name="Примечание 2 2 2" xfId="5490" xr:uid="{00000000-0005-0000-0000-000072150000}"/>
    <cellStyle name="Примечание 2 2 2 2" xfId="5491" xr:uid="{00000000-0005-0000-0000-000073150000}"/>
    <cellStyle name="Примечание 2 2 3" xfId="5492" xr:uid="{00000000-0005-0000-0000-000074150000}"/>
    <cellStyle name="Примечание 2 2 4" xfId="5493" xr:uid="{00000000-0005-0000-0000-000075150000}"/>
    <cellStyle name="Примечание 2 3" xfId="5494" xr:uid="{00000000-0005-0000-0000-000076150000}"/>
    <cellStyle name="Примечание 2 3 2" xfId="5495" xr:uid="{00000000-0005-0000-0000-000077150000}"/>
    <cellStyle name="Примечание 2 3 3" xfId="5496" xr:uid="{00000000-0005-0000-0000-000078150000}"/>
    <cellStyle name="Примечание 2 3 4" xfId="5497" xr:uid="{00000000-0005-0000-0000-000079150000}"/>
    <cellStyle name="Примечание 2 4" xfId="5498" xr:uid="{00000000-0005-0000-0000-00007A150000}"/>
    <cellStyle name="Примечание 2 4 2" xfId="5499" xr:uid="{00000000-0005-0000-0000-00007B150000}"/>
    <cellStyle name="Примечание 2 4 3" xfId="5500" xr:uid="{00000000-0005-0000-0000-00007C150000}"/>
    <cellStyle name="Примечание 2 5" xfId="5501" xr:uid="{00000000-0005-0000-0000-00007D150000}"/>
    <cellStyle name="Примечание 2 5 2" xfId="5502" xr:uid="{00000000-0005-0000-0000-00007E150000}"/>
    <cellStyle name="Примечание 2 5 3" xfId="5503" xr:uid="{00000000-0005-0000-0000-00007F150000}"/>
    <cellStyle name="Примечание 2 6" xfId="5504" xr:uid="{00000000-0005-0000-0000-000080150000}"/>
    <cellStyle name="Примечание 2 6 2" xfId="5505" xr:uid="{00000000-0005-0000-0000-000081150000}"/>
    <cellStyle name="Примечание 2 7" xfId="5506" xr:uid="{00000000-0005-0000-0000-000082150000}"/>
    <cellStyle name="Примечание 2 7 2" xfId="5507" xr:uid="{00000000-0005-0000-0000-000083150000}"/>
    <cellStyle name="Примечание 2 8" xfId="5508" xr:uid="{00000000-0005-0000-0000-000084150000}"/>
    <cellStyle name="Примечание 2 9" xfId="5509" xr:uid="{00000000-0005-0000-0000-000085150000}"/>
    <cellStyle name="Примечание 2_Xl0000305" xfId="5510" xr:uid="{00000000-0005-0000-0000-000086150000}"/>
    <cellStyle name="Примечание 20" xfId="5511" xr:uid="{00000000-0005-0000-0000-000087150000}"/>
    <cellStyle name="Примечание 20 2" xfId="5512" xr:uid="{00000000-0005-0000-0000-000088150000}"/>
    <cellStyle name="Примечание 20 2 2" xfId="5513" xr:uid="{00000000-0005-0000-0000-000089150000}"/>
    <cellStyle name="Примечание 20 3" xfId="5514" xr:uid="{00000000-0005-0000-0000-00008A150000}"/>
    <cellStyle name="Примечание 20 4" xfId="5515" xr:uid="{00000000-0005-0000-0000-00008B150000}"/>
    <cellStyle name="Примечание 20 5" xfId="5516" xr:uid="{00000000-0005-0000-0000-00008C150000}"/>
    <cellStyle name="Примечание 3" xfId="5517" xr:uid="{00000000-0005-0000-0000-00008D150000}"/>
    <cellStyle name="Примечание 3 2" xfId="5518" xr:uid="{00000000-0005-0000-0000-00008E150000}"/>
    <cellStyle name="Примечание 3 2 2" xfId="5519" xr:uid="{00000000-0005-0000-0000-00008F150000}"/>
    <cellStyle name="Примечание 3 3" xfId="5520" xr:uid="{00000000-0005-0000-0000-000090150000}"/>
    <cellStyle name="Примечание 3 4" xfId="5521" xr:uid="{00000000-0005-0000-0000-000091150000}"/>
    <cellStyle name="Примечание 3 5" xfId="5522" xr:uid="{00000000-0005-0000-0000-000092150000}"/>
    <cellStyle name="Примечание 39" xfId="5523" xr:uid="{00000000-0005-0000-0000-000093150000}"/>
    <cellStyle name="Примечание 4" xfId="5524" xr:uid="{00000000-0005-0000-0000-000094150000}"/>
    <cellStyle name="Примечание 4 2" xfId="5525" xr:uid="{00000000-0005-0000-0000-000095150000}"/>
    <cellStyle name="Примечание 5" xfId="5526" xr:uid="{00000000-0005-0000-0000-000096150000}"/>
    <cellStyle name="Примечание 5 2" xfId="5527" xr:uid="{00000000-0005-0000-0000-000097150000}"/>
    <cellStyle name="Примечание 5 3" xfId="5528" xr:uid="{00000000-0005-0000-0000-000098150000}"/>
    <cellStyle name="Примечание 6" xfId="5529" xr:uid="{00000000-0005-0000-0000-000099150000}"/>
    <cellStyle name="Примечание 6 2" xfId="5530" xr:uid="{00000000-0005-0000-0000-00009A150000}"/>
    <cellStyle name="Примечание 7" xfId="5531" xr:uid="{00000000-0005-0000-0000-00009B150000}"/>
    <cellStyle name="Примечание 7 2" xfId="5532" xr:uid="{00000000-0005-0000-0000-00009C150000}"/>
    <cellStyle name="Примечание 8" xfId="5533" xr:uid="{00000000-0005-0000-0000-00009D150000}"/>
    <cellStyle name="Примечание 8 2" xfId="5534" xr:uid="{00000000-0005-0000-0000-00009E150000}"/>
    <cellStyle name="Примечание 9" xfId="5535" xr:uid="{00000000-0005-0000-0000-00009F150000}"/>
    <cellStyle name="Примечание 9 2" xfId="5536" xr:uid="{00000000-0005-0000-0000-0000A0150000}"/>
    <cellStyle name="Процентный 10" xfId="5537" xr:uid="{00000000-0005-0000-0000-0000A1150000}"/>
    <cellStyle name="Процентный 10 2" xfId="5538" xr:uid="{00000000-0005-0000-0000-0000A2150000}"/>
    <cellStyle name="Процентный 11" xfId="5539" xr:uid="{00000000-0005-0000-0000-0000A3150000}"/>
    <cellStyle name="Процентный 2" xfId="5540" xr:uid="{00000000-0005-0000-0000-0000A4150000}"/>
    <cellStyle name="Процентный 2 10" xfId="5541" xr:uid="{00000000-0005-0000-0000-0000A5150000}"/>
    <cellStyle name="Процентный 2 11" xfId="5542" xr:uid="{00000000-0005-0000-0000-0000A6150000}"/>
    <cellStyle name="Процентный 2 12" xfId="5543" xr:uid="{00000000-0005-0000-0000-0000A7150000}"/>
    <cellStyle name="Процентный 2 13" xfId="5544" xr:uid="{00000000-0005-0000-0000-0000A8150000}"/>
    <cellStyle name="Процентный 2 14" xfId="5545" xr:uid="{00000000-0005-0000-0000-0000A9150000}"/>
    <cellStyle name="Процентный 2 15" xfId="5546" xr:uid="{00000000-0005-0000-0000-0000AA150000}"/>
    <cellStyle name="Процентный 2 16" xfId="5547" xr:uid="{00000000-0005-0000-0000-0000AB150000}"/>
    <cellStyle name="Процентный 2 17" xfId="5548" xr:uid="{00000000-0005-0000-0000-0000AC150000}"/>
    <cellStyle name="Процентный 2 18" xfId="5549" xr:uid="{00000000-0005-0000-0000-0000AD150000}"/>
    <cellStyle name="Процентный 2 19" xfId="5550" xr:uid="{00000000-0005-0000-0000-0000AE150000}"/>
    <cellStyle name="Процентный 2 2" xfId="5551" xr:uid="{00000000-0005-0000-0000-0000AF150000}"/>
    <cellStyle name="Процентный 2 2 2" xfId="5552" xr:uid="{00000000-0005-0000-0000-0000B0150000}"/>
    <cellStyle name="Процентный 2 2 3" xfId="5553" xr:uid="{00000000-0005-0000-0000-0000B1150000}"/>
    <cellStyle name="Процентный 2 2 4" xfId="5554" xr:uid="{00000000-0005-0000-0000-0000B2150000}"/>
    <cellStyle name="Процентный 2 20" xfId="5555" xr:uid="{00000000-0005-0000-0000-0000B3150000}"/>
    <cellStyle name="Процентный 2 21" xfId="5556" xr:uid="{00000000-0005-0000-0000-0000B4150000}"/>
    <cellStyle name="Процентный 2 22" xfId="5557" xr:uid="{00000000-0005-0000-0000-0000B5150000}"/>
    <cellStyle name="Процентный 2 23" xfId="5558" xr:uid="{00000000-0005-0000-0000-0000B6150000}"/>
    <cellStyle name="Процентный 2 24" xfId="5559" xr:uid="{00000000-0005-0000-0000-0000B7150000}"/>
    <cellStyle name="Процентный 2 25" xfId="5560" xr:uid="{00000000-0005-0000-0000-0000B8150000}"/>
    <cellStyle name="Процентный 2 26" xfId="5561" xr:uid="{00000000-0005-0000-0000-0000B9150000}"/>
    <cellStyle name="Процентный 2 27" xfId="5562" xr:uid="{00000000-0005-0000-0000-0000BA150000}"/>
    <cellStyle name="Процентный 2 27 2" xfId="5563" xr:uid="{00000000-0005-0000-0000-0000BB150000}"/>
    <cellStyle name="Процентный 2 28" xfId="5564" xr:uid="{00000000-0005-0000-0000-0000BC150000}"/>
    <cellStyle name="Процентный 2 3" xfId="5565" xr:uid="{00000000-0005-0000-0000-0000BD150000}"/>
    <cellStyle name="Процентный 2 3 2" xfId="5566" xr:uid="{00000000-0005-0000-0000-0000BE150000}"/>
    <cellStyle name="Процентный 2 4" xfId="5567" xr:uid="{00000000-0005-0000-0000-0000BF150000}"/>
    <cellStyle name="Процентный 2 4 2" xfId="5568" xr:uid="{00000000-0005-0000-0000-0000C0150000}"/>
    <cellStyle name="Процентный 2 5" xfId="5569" xr:uid="{00000000-0005-0000-0000-0000C1150000}"/>
    <cellStyle name="Процентный 2 6" xfId="5570" xr:uid="{00000000-0005-0000-0000-0000C2150000}"/>
    <cellStyle name="Процентный 2 7" xfId="5571" xr:uid="{00000000-0005-0000-0000-0000C3150000}"/>
    <cellStyle name="Процентный 2 8" xfId="5572" xr:uid="{00000000-0005-0000-0000-0000C4150000}"/>
    <cellStyle name="Процентный 2 9" xfId="5573" xr:uid="{00000000-0005-0000-0000-0000C5150000}"/>
    <cellStyle name="Процентный 3" xfId="5574" xr:uid="{00000000-0005-0000-0000-0000C6150000}"/>
    <cellStyle name="Процентный 3 10" xfId="5575" xr:uid="{00000000-0005-0000-0000-0000C7150000}"/>
    <cellStyle name="Процентный 3 11" xfId="5576" xr:uid="{00000000-0005-0000-0000-0000C8150000}"/>
    <cellStyle name="Процентный 3 12" xfId="5577" xr:uid="{00000000-0005-0000-0000-0000C9150000}"/>
    <cellStyle name="Процентный 3 13" xfId="5578" xr:uid="{00000000-0005-0000-0000-0000CA150000}"/>
    <cellStyle name="Процентный 3 14" xfId="5579" xr:uid="{00000000-0005-0000-0000-0000CB150000}"/>
    <cellStyle name="Процентный 3 15" xfId="5580" xr:uid="{00000000-0005-0000-0000-0000CC150000}"/>
    <cellStyle name="Процентный 3 16" xfId="5581" xr:uid="{00000000-0005-0000-0000-0000CD150000}"/>
    <cellStyle name="Процентный 3 17" xfId="5582" xr:uid="{00000000-0005-0000-0000-0000CE150000}"/>
    <cellStyle name="Процентный 3 18" xfId="5583" xr:uid="{00000000-0005-0000-0000-0000CF150000}"/>
    <cellStyle name="Процентный 3 19" xfId="5584" xr:uid="{00000000-0005-0000-0000-0000D0150000}"/>
    <cellStyle name="Процентный 3 2" xfId="5585" xr:uid="{00000000-0005-0000-0000-0000D1150000}"/>
    <cellStyle name="Процентный 3 20" xfId="5586" xr:uid="{00000000-0005-0000-0000-0000D2150000}"/>
    <cellStyle name="Процентный 3 3" xfId="5587" xr:uid="{00000000-0005-0000-0000-0000D3150000}"/>
    <cellStyle name="Процентный 3 4" xfId="5588" xr:uid="{00000000-0005-0000-0000-0000D4150000}"/>
    <cellStyle name="Процентный 3 5" xfId="5589" xr:uid="{00000000-0005-0000-0000-0000D5150000}"/>
    <cellStyle name="Процентный 3 6" xfId="5590" xr:uid="{00000000-0005-0000-0000-0000D6150000}"/>
    <cellStyle name="Процентный 3 7" xfId="5591" xr:uid="{00000000-0005-0000-0000-0000D7150000}"/>
    <cellStyle name="Процентный 3 8" xfId="5592" xr:uid="{00000000-0005-0000-0000-0000D8150000}"/>
    <cellStyle name="Процентный 3 9" xfId="5593" xr:uid="{00000000-0005-0000-0000-0000D9150000}"/>
    <cellStyle name="Процентный 4" xfId="5594" xr:uid="{00000000-0005-0000-0000-0000DA150000}"/>
    <cellStyle name="Процентный 4 2" xfId="5595" xr:uid="{00000000-0005-0000-0000-0000DB150000}"/>
    <cellStyle name="Процентный 4 3" xfId="5596" xr:uid="{00000000-0005-0000-0000-0000DC150000}"/>
    <cellStyle name="Процентный 5" xfId="5597" xr:uid="{00000000-0005-0000-0000-0000DD150000}"/>
    <cellStyle name="Процентный 5 2" xfId="5598" xr:uid="{00000000-0005-0000-0000-0000DE150000}"/>
    <cellStyle name="Процентный 5 2 2" xfId="5599" xr:uid="{00000000-0005-0000-0000-0000DF150000}"/>
    <cellStyle name="Процентный 5 2 2 2" xfId="5600" xr:uid="{00000000-0005-0000-0000-0000E0150000}"/>
    <cellStyle name="Процентный 5 2 2 3" xfId="5601" xr:uid="{00000000-0005-0000-0000-0000E1150000}"/>
    <cellStyle name="Процентный 5 2 2 4" xfId="5602" xr:uid="{00000000-0005-0000-0000-0000E2150000}"/>
    <cellStyle name="Процентный 5 2 3" xfId="5603" xr:uid="{00000000-0005-0000-0000-0000E3150000}"/>
    <cellStyle name="Процентный 5 2 4" xfId="5604" xr:uid="{00000000-0005-0000-0000-0000E4150000}"/>
    <cellStyle name="Процентный 5 2 5" xfId="5605" xr:uid="{00000000-0005-0000-0000-0000E5150000}"/>
    <cellStyle name="Процентный 5 2 6" xfId="5606" xr:uid="{00000000-0005-0000-0000-0000E6150000}"/>
    <cellStyle name="Процентный 5 3" xfId="5607" xr:uid="{00000000-0005-0000-0000-0000E7150000}"/>
    <cellStyle name="Процентный 5 3 2" xfId="5608" xr:uid="{00000000-0005-0000-0000-0000E8150000}"/>
    <cellStyle name="Процентный 5 3 2 2" xfId="5609" xr:uid="{00000000-0005-0000-0000-0000E9150000}"/>
    <cellStyle name="Процентный 5 3 3" xfId="5610" xr:uid="{00000000-0005-0000-0000-0000EA150000}"/>
    <cellStyle name="Процентный 5 3 4" xfId="5611" xr:uid="{00000000-0005-0000-0000-0000EB150000}"/>
    <cellStyle name="Процентный 5 3 5" xfId="5612" xr:uid="{00000000-0005-0000-0000-0000EC150000}"/>
    <cellStyle name="Процентный 5 4" xfId="5613" xr:uid="{00000000-0005-0000-0000-0000ED150000}"/>
    <cellStyle name="Процентный 5 5" xfId="5614" xr:uid="{00000000-0005-0000-0000-0000EE150000}"/>
    <cellStyle name="Процентный 5 6" xfId="5615" xr:uid="{00000000-0005-0000-0000-0000EF150000}"/>
    <cellStyle name="Процентный 5 7" xfId="5616" xr:uid="{00000000-0005-0000-0000-0000F0150000}"/>
    <cellStyle name="Процентный 6" xfId="5617" xr:uid="{00000000-0005-0000-0000-0000F1150000}"/>
    <cellStyle name="Процентный 6 2" xfId="5618" xr:uid="{00000000-0005-0000-0000-0000F2150000}"/>
    <cellStyle name="Процентный 6 2 2" xfId="5619" xr:uid="{00000000-0005-0000-0000-0000F3150000}"/>
    <cellStyle name="Процентный 6 2 3" xfId="5620" xr:uid="{00000000-0005-0000-0000-0000F4150000}"/>
    <cellStyle name="Процентный 6 3" xfId="5621" xr:uid="{00000000-0005-0000-0000-0000F5150000}"/>
    <cellStyle name="Процентный 6 3 2" xfId="5622" xr:uid="{00000000-0005-0000-0000-0000F6150000}"/>
    <cellStyle name="Процентный 6 4" xfId="5623" xr:uid="{00000000-0005-0000-0000-0000F7150000}"/>
    <cellStyle name="Процентный 6 5" xfId="5624" xr:uid="{00000000-0005-0000-0000-0000F8150000}"/>
    <cellStyle name="Процентный 6 6" xfId="5625" xr:uid="{00000000-0005-0000-0000-0000F9150000}"/>
    <cellStyle name="Процентный 6 7" xfId="5626" xr:uid="{00000000-0005-0000-0000-0000FA150000}"/>
    <cellStyle name="Процентный 7" xfId="5627" xr:uid="{00000000-0005-0000-0000-0000FB150000}"/>
    <cellStyle name="Процентный 7 2" xfId="5628" xr:uid="{00000000-0005-0000-0000-0000FC150000}"/>
    <cellStyle name="Процентный 7 2 2" xfId="5629" xr:uid="{00000000-0005-0000-0000-0000FD150000}"/>
    <cellStyle name="Процентный 7 2 3" xfId="5630" xr:uid="{00000000-0005-0000-0000-0000FE150000}"/>
    <cellStyle name="Процентный 7 3" xfId="5631" xr:uid="{00000000-0005-0000-0000-0000FF150000}"/>
    <cellStyle name="Процентный 7 3 2" xfId="5632" xr:uid="{00000000-0005-0000-0000-000000160000}"/>
    <cellStyle name="Процентный 7 4" xfId="5633" xr:uid="{00000000-0005-0000-0000-000001160000}"/>
    <cellStyle name="Процентный 7 5" xfId="5634" xr:uid="{00000000-0005-0000-0000-000002160000}"/>
    <cellStyle name="Процентный 7 6" xfId="5635" xr:uid="{00000000-0005-0000-0000-000003160000}"/>
    <cellStyle name="Процентный 7 7" xfId="5636" xr:uid="{00000000-0005-0000-0000-000004160000}"/>
    <cellStyle name="Процентный 8" xfId="5637" xr:uid="{00000000-0005-0000-0000-000005160000}"/>
    <cellStyle name="Процентный 8 2" xfId="5638" xr:uid="{00000000-0005-0000-0000-000006160000}"/>
    <cellStyle name="Процентный 8 2 2" xfId="5639" xr:uid="{00000000-0005-0000-0000-000007160000}"/>
    <cellStyle name="Процентный 8 2 3" xfId="5640" xr:uid="{00000000-0005-0000-0000-000008160000}"/>
    <cellStyle name="Процентный 8 3" xfId="5641" xr:uid="{00000000-0005-0000-0000-000009160000}"/>
    <cellStyle name="Процентный 8 3 2" xfId="5642" xr:uid="{00000000-0005-0000-0000-00000A160000}"/>
    <cellStyle name="Процентный 8 4" xfId="5643" xr:uid="{00000000-0005-0000-0000-00000B160000}"/>
    <cellStyle name="Процентный 8 5" xfId="5644" xr:uid="{00000000-0005-0000-0000-00000C160000}"/>
    <cellStyle name="Процентный 8 6" xfId="5645" xr:uid="{00000000-0005-0000-0000-00000D160000}"/>
    <cellStyle name="Процентный 9" xfId="5646" xr:uid="{00000000-0005-0000-0000-00000E160000}"/>
    <cellStyle name="Процентный 9 2" xfId="5647" xr:uid="{00000000-0005-0000-0000-00000F160000}"/>
    <cellStyle name="Процентный 9 3" xfId="5648" xr:uid="{00000000-0005-0000-0000-000010160000}"/>
    <cellStyle name="Процентный 9 4" xfId="5649" xr:uid="{00000000-0005-0000-0000-000011160000}"/>
    <cellStyle name="РесСмета" xfId="5650" xr:uid="{00000000-0005-0000-0000-000012160000}"/>
    <cellStyle name="СводкаСтоимРаб" xfId="5651" xr:uid="{00000000-0005-0000-0000-000013160000}"/>
    <cellStyle name="СводРасч" xfId="5652" xr:uid="{00000000-0005-0000-0000-000014160000}"/>
    <cellStyle name="СводРасч 2" xfId="5653" xr:uid="{00000000-0005-0000-0000-000015160000}"/>
    <cellStyle name="СводРасч 3" xfId="5654" xr:uid="{00000000-0005-0000-0000-000016160000}"/>
    <cellStyle name="СводРасч 4" xfId="5655" xr:uid="{00000000-0005-0000-0000-000017160000}"/>
    <cellStyle name="СводРасч 5" xfId="5656" xr:uid="{00000000-0005-0000-0000-000018160000}"/>
    <cellStyle name="Связанная ячейка 10" xfId="5657" xr:uid="{00000000-0005-0000-0000-000019160000}"/>
    <cellStyle name="Связанная ячейка 11" xfId="5658" xr:uid="{00000000-0005-0000-0000-00001A160000}"/>
    <cellStyle name="Связанная ячейка 12" xfId="5659" xr:uid="{00000000-0005-0000-0000-00001B160000}"/>
    <cellStyle name="Связанная ячейка 13" xfId="5660" xr:uid="{00000000-0005-0000-0000-00001C160000}"/>
    <cellStyle name="Связанная ячейка 14" xfId="5661" xr:uid="{00000000-0005-0000-0000-00001D160000}"/>
    <cellStyle name="Связанная ячейка 15" xfId="5662" xr:uid="{00000000-0005-0000-0000-00001E160000}"/>
    <cellStyle name="Связанная ячейка 16" xfId="5663" xr:uid="{00000000-0005-0000-0000-00001F160000}"/>
    <cellStyle name="Связанная ячейка 2" xfId="5664" xr:uid="{00000000-0005-0000-0000-000020160000}"/>
    <cellStyle name="Связанная ячейка 2 10" xfId="5665" xr:uid="{00000000-0005-0000-0000-000021160000}"/>
    <cellStyle name="Связанная ячейка 2 11" xfId="5666" xr:uid="{00000000-0005-0000-0000-000022160000}"/>
    <cellStyle name="Связанная ячейка 2 12" xfId="5667" xr:uid="{00000000-0005-0000-0000-000023160000}"/>
    <cellStyle name="Связанная ячейка 2 13" xfId="5668" xr:uid="{00000000-0005-0000-0000-000024160000}"/>
    <cellStyle name="Связанная ячейка 2 2" xfId="5669" xr:uid="{00000000-0005-0000-0000-000025160000}"/>
    <cellStyle name="Связанная ячейка 2 2 2" xfId="5670" xr:uid="{00000000-0005-0000-0000-000026160000}"/>
    <cellStyle name="Связанная ячейка 2 3" xfId="5671" xr:uid="{00000000-0005-0000-0000-000027160000}"/>
    <cellStyle name="Связанная ячейка 2 3 2" xfId="5672" xr:uid="{00000000-0005-0000-0000-000028160000}"/>
    <cellStyle name="Связанная ячейка 2 4" xfId="5673" xr:uid="{00000000-0005-0000-0000-000029160000}"/>
    <cellStyle name="Связанная ячейка 2 4 2" xfId="5674" xr:uid="{00000000-0005-0000-0000-00002A160000}"/>
    <cellStyle name="Связанная ячейка 2 5" xfId="5675" xr:uid="{00000000-0005-0000-0000-00002B160000}"/>
    <cellStyle name="Связанная ячейка 2 5 2" xfId="5676" xr:uid="{00000000-0005-0000-0000-00002C160000}"/>
    <cellStyle name="Связанная ячейка 2 6" xfId="5677" xr:uid="{00000000-0005-0000-0000-00002D160000}"/>
    <cellStyle name="Связанная ячейка 2 6 2" xfId="5678" xr:uid="{00000000-0005-0000-0000-00002E160000}"/>
    <cellStyle name="Связанная ячейка 2 7" xfId="5679" xr:uid="{00000000-0005-0000-0000-00002F160000}"/>
    <cellStyle name="Связанная ячейка 2 8" xfId="5680" xr:uid="{00000000-0005-0000-0000-000030160000}"/>
    <cellStyle name="Связанная ячейка 2 9" xfId="5681" xr:uid="{00000000-0005-0000-0000-000031160000}"/>
    <cellStyle name="Связанная ячейка 2_Xl0000305" xfId="5682" xr:uid="{00000000-0005-0000-0000-000032160000}"/>
    <cellStyle name="Связанная ячейка 3" xfId="5683" xr:uid="{00000000-0005-0000-0000-000033160000}"/>
    <cellStyle name="Связанная ячейка 3 2" xfId="5684" xr:uid="{00000000-0005-0000-0000-000034160000}"/>
    <cellStyle name="Связанная ячейка 4" xfId="5685" xr:uid="{00000000-0005-0000-0000-000035160000}"/>
    <cellStyle name="Связанная ячейка 5" xfId="5686" xr:uid="{00000000-0005-0000-0000-000036160000}"/>
    <cellStyle name="Связанная ячейка 6" xfId="5687" xr:uid="{00000000-0005-0000-0000-000037160000}"/>
    <cellStyle name="Связанная ячейка 7" xfId="5688" xr:uid="{00000000-0005-0000-0000-000038160000}"/>
    <cellStyle name="Связанная ячейка 8" xfId="5689" xr:uid="{00000000-0005-0000-0000-000039160000}"/>
    <cellStyle name="Связанная ячейка 9" xfId="5690" xr:uid="{00000000-0005-0000-0000-00003A160000}"/>
    <cellStyle name="Стиль 1" xfId="5691" xr:uid="{00000000-0005-0000-0000-00003B160000}"/>
    <cellStyle name="Стиль 1 10" xfId="5692" xr:uid="{00000000-0005-0000-0000-00003C160000}"/>
    <cellStyle name="Стиль 1 10 2" xfId="5693" xr:uid="{00000000-0005-0000-0000-00003D160000}"/>
    <cellStyle name="Стиль 1 11" xfId="5694" xr:uid="{00000000-0005-0000-0000-00003E160000}"/>
    <cellStyle name="Стиль 1 12" xfId="5695" xr:uid="{00000000-0005-0000-0000-00003F160000}"/>
    <cellStyle name="Стиль 1 13" xfId="5696" xr:uid="{00000000-0005-0000-0000-000040160000}"/>
    <cellStyle name="Стиль 1 14" xfId="5697" xr:uid="{00000000-0005-0000-0000-000041160000}"/>
    <cellStyle name="Стиль 1 15" xfId="5698" xr:uid="{00000000-0005-0000-0000-000042160000}"/>
    <cellStyle name="Стиль 1 16" xfId="5699" xr:uid="{00000000-0005-0000-0000-000043160000}"/>
    <cellStyle name="Стиль 1 17" xfId="5700" xr:uid="{00000000-0005-0000-0000-000044160000}"/>
    <cellStyle name="Стиль 1 18" xfId="5701" xr:uid="{00000000-0005-0000-0000-000045160000}"/>
    <cellStyle name="Стиль 1 19" xfId="5702" xr:uid="{00000000-0005-0000-0000-000046160000}"/>
    <cellStyle name="Стиль 1 2" xfId="5703" xr:uid="{00000000-0005-0000-0000-000047160000}"/>
    <cellStyle name="Стиль 1 2 2" xfId="5704" xr:uid="{00000000-0005-0000-0000-000048160000}"/>
    <cellStyle name="Стиль 1 2 2 2" xfId="5705" xr:uid="{00000000-0005-0000-0000-000049160000}"/>
    <cellStyle name="Стиль 1 2 2 3" xfId="5706" xr:uid="{00000000-0005-0000-0000-00004A160000}"/>
    <cellStyle name="Стиль 1 2 3" xfId="5707" xr:uid="{00000000-0005-0000-0000-00004B160000}"/>
    <cellStyle name="Стиль 1 20" xfId="5708" xr:uid="{00000000-0005-0000-0000-00004C160000}"/>
    <cellStyle name="Стиль 1 21" xfId="5709" xr:uid="{00000000-0005-0000-0000-00004D160000}"/>
    <cellStyle name="Стиль 1 22" xfId="5710" xr:uid="{00000000-0005-0000-0000-00004E160000}"/>
    <cellStyle name="Стиль 1 3" xfId="5711" xr:uid="{00000000-0005-0000-0000-00004F160000}"/>
    <cellStyle name="Стиль 1 3 2" xfId="5712" xr:uid="{00000000-0005-0000-0000-000050160000}"/>
    <cellStyle name="Стиль 1 3 3" xfId="5713" xr:uid="{00000000-0005-0000-0000-000051160000}"/>
    <cellStyle name="Стиль 1 4" xfId="5714" xr:uid="{00000000-0005-0000-0000-000052160000}"/>
    <cellStyle name="Стиль 1 5" xfId="5715" xr:uid="{00000000-0005-0000-0000-000053160000}"/>
    <cellStyle name="Стиль 1 6" xfId="5716" xr:uid="{00000000-0005-0000-0000-000054160000}"/>
    <cellStyle name="Стиль 1 7" xfId="5717" xr:uid="{00000000-0005-0000-0000-000055160000}"/>
    <cellStyle name="Стиль 1 8" xfId="5718" xr:uid="{00000000-0005-0000-0000-000056160000}"/>
    <cellStyle name="Стиль 1 9" xfId="5719" xr:uid="{00000000-0005-0000-0000-000057160000}"/>
    <cellStyle name="ТЕКСТ" xfId="5720" xr:uid="{00000000-0005-0000-0000-000058160000}"/>
    <cellStyle name="Текст предупреждения 10" xfId="5721" xr:uid="{00000000-0005-0000-0000-000059160000}"/>
    <cellStyle name="Текст предупреждения 11" xfId="5722" xr:uid="{00000000-0005-0000-0000-00005A160000}"/>
    <cellStyle name="Текст предупреждения 12" xfId="5723" xr:uid="{00000000-0005-0000-0000-00005B160000}"/>
    <cellStyle name="Текст предупреждения 13" xfId="5724" xr:uid="{00000000-0005-0000-0000-00005C160000}"/>
    <cellStyle name="Текст предупреждения 14" xfId="5725" xr:uid="{00000000-0005-0000-0000-00005D160000}"/>
    <cellStyle name="Текст предупреждения 15" xfId="5726" xr:uid="{00000000-0005-0000-0000-00005E160000}"/>
    <cellStyle name="Текст предупреждения 16" xfId="5727" xr:uid="{00000000-0005-0000-0000-00005F160000}"/>
    <cellStyle name="Текст предупреждения 2" xfId="5728" xr:uid="{00000000-0005-0000-0000-000060160000}"/>
    <cellStyle name="Текст предупреждения 2 10" xfId="5729" xr:uid="{00000000-0005-0000-0000-000061160000}"/>
    <cellStyle name="Текст предупреждения 2 11" xfId="5730" xr:uid="{00000000-0005-0000-0000-000062160000}"/>
    <cellStyle name="Текст предупреждения 2 12" xfId="5731" xr:uid="{00000000-0005-0000-0000-000063160000}"/>
    <cellStyle name="Текст предупреждения 2 13" xfId="5732" xr:uid="{00000000-0005-0000-0000-000064160000}"/>
    <cellStyle name="Текст предупреждения 2 2" xfId="5733" xr:uid="{00000000-0005-0000-0000-000065160000}"/>
    <cellStyle name="Текст предупреждения 2 2 2" xfId="5734" xr:uid="{00000000-0005-0000-0000-000066160000}"/>
    <cellStyle name="Текст предупреждения 2 3" xfId="5735" xr:uid="{00000000-0005-0000-0000-000067160000}"/>
    <cellStyle name="Текст предупреждения 2 3 2" xfId="5736" xr:uid="{00000000-0005-0000-0000-000068160000}"/>
    <cellStyle name="Текст предупреждения 2 4" xfId="5737" xr:uid="{00000000-0005-0000-0000-000069160000}"/>
    <cellStyle name="Текст предупреждения 2 4 2" xfId="5738" xr:uid="{00000000-0005-0000-0000-00006A160000}"/>
    <cellStyle name="Текст предупреждения 2 5" xfId="5739" xr:uid="{00000000-0005-0000-0000-00006B160000}"/>
    <cellStyle name="Текст предупреждения 2 5 2" xfId="5740" xr:uid="{00000000-0005-0000-0000-00006C160000}"/>
    <cellStyle name="Текст предупреждения 2 6" xfId="5741" xr:uid="{00000000-0005-0000-0000-00006D160000}"/>
    <cellStyle name="Текст предупреждения 2 6 2" xfId="5742" xr:uid="{00000000-0005-0000-0000-00006E160000}"/>
    <cellStyle name="Текст предупреждения 2 7" xfId="5743" xr:uid="{00000000-0005-0000-0000-00006F160000}"/>
    <cellStyle name="Текст предупреждения 2 8" xfId="5744" xr:uid="{00000000-0005-0000-0000-000070160000}"/>
    <cellStyle name="Текст предупреждения 2 9" xfId="5745" xr:uid="{00000000-0005-0000-0000-000071160000}"/>
    <cellStyle name="Текст предупреждения 3" xfId="5746" xr:uid="{00000000-0005-0000-0000-000072160000}"/>
    <cellStyle name="Текст предупреждения 3 2" xfId="5747" xr:uid="{00000000-0005-0000-0000-000073160000}"/>
    <cellStyle name="Текст предупреждения 4" xfId="5748" xr:uid="{00000000-0005-0000-0000-000074160000}"/>
    <cellStyle name="Текст предупреждения 5" xfId="5749" xr:uid="{00000000-0005-0000-0000-000075160000}"/>
    <cellStyle name="Текст предупреждения 6" xfId="5750" xr:uid="{00000000-0005-0000-0000-000076160000}"/>
    <cellStyle name="Текст предупреждения 7" xfId="5751" xr:uid="{00000000-0005-0000-0000-000077160000}"/>
    <cellStyle name="Текст предупреждения 8" xfId="5752" xr:uid="{00000000-0005-0000-0000-000078160000}"/>
    <cellStyle name="Текст предупреждения 9" xfId="5753" xr:uid="{00000000-0005-0000-0000-000079160000}"/>
    <cellStyle name="Текстовый" xfId="5754" xr:uid="{00000000-0005-0000-0000-00007A160000}"/>
    <cellStyle name="Текстовый 2" xfId="5755" xr:uid="{00000000-0005-0000-0000-00007B160000}"/>
    <cellStyle name="Титул" xfId="5756" xr:uid="{00000000-0005-0000-0000-00007C160000}"/>
    <cellStyle name="Титул 2" xfId="5757" xr:uid="{00000000-0005-0000-0000-00007D160000}"/>
    <cellStyle name="Тысячи [0]_22гк" xfId="5758" xr:uid="{00000000-0005-0000-0000-00007E160000}"/>
    <cellStyle name="Тысячи_22гк" xfId="5759" xr:uid="{00000000-0005-0000-0000-00007F160000}"/>
    <cellStyle name="Финансовый [0] 2" xfId="5760" xr:uid="{00000000-0005-0000-0000-000080160000}"/>
    <cellStyle name="Финансовый 10" xfId="5761" xr:uid="{00000000-0005-0000-0000-000081160000}"/>
    <cellStyle name="Финансовый 10 2" xfId="5762" xr:uid="{00000000-0005-0000-0000-000082160000}"/>
    <cellStyle name="Финансовый 10 2 2" xfId="5763" xr:uid="{00000000-0005-0000-0000-000083160000}"/>
    <cellStyle name="Финансовый 10 2 3" xfId="5764" xr:uid="{00000000-0005-0000-0000-000084160000}"/>
    <cellStyle name="Финансовый 10 3" xfId="5765" xr:uid="{00000000-0005-0000-0000-000085160000}"/>
    <cellStyle name="Финансовый 10 3 2" xfId="5766" xr:uid="{00000000-0005-0000-0000-000086160000}"/>
    <cellStyle name="Финансовый 10 4" xfId="5767" xr:uid="{00000000-0005-0000-0000-000087160000}"/>
    <cellStyle name="Финансовый 10 5" xfId="5768" xr:uid="{00000000-0005-0000-0000-000088160000}"/>
    <cellStyle name="Финансовый 10 6" xfId="5769" xr:uid="{00000000-0005-0000-0000-000089160000}"/>
    <cellStyle name="Финансовый 10 7" xfId="5770" xr:uid="{00000000-0005-0000-0000-00008A160000}"/>
    <cellStyle name="Финансовый 100" xfId="5771" xr:uid="{00000000-0005-0000-0000-00008B160000}"/>
    <cellStyle name="Финансовый 100 2" xfId="5772" xr:uid="{00000000-0005-0000-0000-00008C160000}"/>
    <cellStyle name="Финансовый 100 3" xfId="5773" xr:uid="{00000000-0005-0000-0000-00008D160000}"/>
    <cellStyle name="Финансовый 101" xfId="5774" xr:uid="{00000000-0005-0000-0000-00008E160000}"/>
    <cellStyle name="Финансовый 101 2" xfId="5775" xr:uid="{00000000-0005-0000-0000-00008F160000}"/>
    <cellStyle name="Финансовый 101 3" xfId="5776" xr:uid="{00000000-0005-0000-0000-000090160000}"/>
    <cellStyle name="Финансовый 102" xfId="5777" xr:uid="{00000000-0005-0000-0000-000091160000}"/>
    <cellStyle name="Финансовый 102 2" xfId="5778" xr:uid="{00000000-0005-0000-0000-000092160000}"/>
    <cellStyle name="Финансовый 102 3" xfId="5779" xr:uid="{00000000-0005-0000-0000-000093160000}"/>
    <cellStyle name="Финансовый 103" xfId="5780" xr:uid="{00000000-0005-0000-0000-000094160000}"/>
    <cellStyle name="Финансовый 103 2" xfId="5781" xr:uid="{00000000-0005-0000-0000-000095160000}"/>
    <cellStyle name="Финансовый 103 3" xfId="5782" xr:uid="{00000000-0005-0000-0000-000096160000}"/>
    <cellStyle name="Финансовый 104" xfId="5783" xr:uid="{00000000-0005-0000-0000-000097160000}"/>
    <cellStyle name="Финансовый 104 2" xfId="5784" xr:uid="{00000000-0005-0000-0000-000098160000}"/>
    <cellStyle name="Финансовый 104 3" xfId="5785" xr:uid="{00000000-0005-0000-0000-000099160000}"/>
    <cellStyle name="Финансовый 105" xfId="5786" xr:uid="{00000000-0005-0000-0000-00009A160000}"/>
    <cellStyle name="Финансовый 105 2" xfId="5787" xr:uid="{00000000-0005-0000-0000-00009B160000}"/>
    <cellStyle name="Финансовый 105 3" xfId="5788" xr:uid="{00000000-0005-0000-0000-00009C160000}"/>
    <cellStyle name="Финансовый 106" xfId="5789" xr:uid="{00000000-0005-0000-0000-00009D160000}"/>
    <cellStyle name="Финансовый 106 2" xfId="5790" xr:uid="{00000000-0005-0000-0000-00009E160000}"/>
    <cellStyle name="Финансовый 106 3" xfId="5791" xr:uid="{00000000-0005-0000-0000-00009F160000}"/>
    <cellStyle name="Финансовый 107" xfId="5792" xr:uid="{00000000-0005-0000-0000-0000A0160000}"/>
    <cellStyle name="Финансовый 107 2" xfId="5793" xr:uid="{00000000-0005-0000-0000-0000A1160000}"/>
    <cellStyle name="Финансовый 107 3" xfId="5794" xr:uid="{00000000-0005-0000-0000-0000A2160000}"/>
    <cellStyle name="Финансовый 108" xfId="5795" xr:uid="{00000000-0005-0000-0000-0000A3160000}"/>
    <cellStyle name="Финансовый 108 2" xfId="5796" xr:uid="{00000000-0005-0000-0000-0000A4160000}"/>
    <cellStyle name="Финансовый 108 3" xfId="5797" xr:uid="{00000000-0005-0000-0000-0000A5160000}"/>
    <cellStyle name="Финансовый 109" xfId="5798" xr:uid="{00000000-0005-0000-0000-0000A6160000}"/>
    <cellStyle name="Финансовый 109 2" xfId="5799" xr:uid="{00000000-0005-0000-0000-0000A7160000}"/>
    <cellStyle name="Финансовый 109 3" xfId="5800" xr:uid="{00000000-0005-0000-0000-0000A8160000}"/>
    <cellStyle name="Финансовый 11" xfId="5801" xr:uid="{00000000-0005-0000-0000-0000A9160000}"/>
    <cellStyle name="Финансовый 11 2" xfId="5802" xr:uid="{00000000-0005-0000-0000-0000AA160000}"/>
    <cellStyle name="Финансовый 110" xfId="5803" xr:uid="{00000000-0005-0000-0000-0000AB160000}"/>
    <cellStyle name="Финансовый 110 2" xfId="5804" xr:uid="{00000000-0005-0000-0000-0000AC160000}"/>
    <cellStyle name="Финансовый 110 3" xfId="5805" xr:uid="{00000000-0005-0000-0000-0000AD160000}"/>
    <cellStyle name="Финансовый 111" xfId="5806" xr:uid="{00000000-0005-0000-0000-0000AE160000}"/>
    <cellStyle name="Финансовый 111 2" xfId="5807" xr:uid="{00000000-0005-0000-0000-0000AF160000}"/>
    <cellStyle name="Финансовый 111 3" xfId="5808" xr:uid="{00000000-0005-0000-0000-0000B0160000}"/>
    <cellStyle name="Финансовый 112" xfId="5809" xr:uid="{00000000-0005-0000-0000-0000B1160000}"/>
    <cellStyle name="Финансовый 112 2" xfId="5810" xr:uid="{00000000-0005-0000-0000-0000B2160000}"/>
    <cellStyle name="Финансовый 112 3" xfId="5811" xr:uid="{00000000-0005-0000-0000-0000B3160000}"/>
    <cellStyle name="Финансовый 113" xfId="5812" xr:uid="{00000000-0005-0000-0000-0000B4160000}"/>
    <cellStyle name="Финансовый 113 2" xfId="5813" xr:uid="{00000000-0005-0000-0000-0000B5160000}"/>
    <cellStyle name="Финансовый 113 3" xfId="5814" xr:uid="{00000000-0005-0000-0000-0000B6160000}"/>
    <cellStyle name="Финансовый 114" xfId="5815" xr:uid="{00000000-0005-0000-0000-0000B7160000}"/>
    <cellStyle name="Финансовый 114 2" xfId="5816" xr:uid="{00000000-0005-0000-0000-0000B8160000}"/>
    <cellStyle name="Финансовый 114 3" xfId="5817" xr:uid="{00000000-0005-0000-0000-0000B9160000}"/>
    <cellStyle name="Финансовый 115" xfId="5818" xr:uid="{00000000-0005-0000-0000-0000BA160000}"/>
    <cellStyle name="Финансовый 115 2" xfId="5819" xr:uid="{00000000-0005-0000-0000-0000BB160000}"/>
    <cellStyle name="Финансовый 115 3" xfId="5820" xr:uid="{00000000-0005-0000-0000-0000BC160000}"/>
    <cellStyle name="Финансовый 116" xfId="5821" xr:uid="{00000000-0005-0000-0000-0000BD160000}"/>
    <cellStyle name="Финансовый 116 2" xfId="5822" xr:uid="{00000000-0005-0000-0000-0000BE160000}"/>
    <cellStyle name="Финансовый 116 3" xfId="5823" xr:uid="{00000000-0005-0000-0000-0000BF160000}"/>
    <cellStyle name="Финансовый 117" xfId="5824" xr:uid="{00000000-0005-0000-0000-0000C0160000}"/>
    <cellStyle name="Финансовый 117 2" xfId="5825" xr:uid="{00000000-0005-0000-0000-0000C1160000}"/>
    <cellStyle name="Финансовый 117 3" xfId="5826" xr:uid="{00000000-0005-0000-0000-0000C2160000}"/>
    <cellStyle name="Финансовый 118" xfId="5827" xr:uid="{00000000-0005-0000-0000-0000C3160000}"/>
    <cellStyle name="Финансовый 118 2" xfId="5828" xr:uid="{00000000-0005-0000-0000-0000C4160000}"/>
    <cellStyle name="Финансовый 118 3" xfId="5829" xr:uid="{00000000-0005-0000-0000-0000C5160000}"/>
    <cellStyle name="Финансовый 119" xfId="5830" xr:uid="{00000000-0005-0000-0000-0000C6160000}"/>
    <cellStyle name="Финансовый 119 2" xfId="5831" xr:uid="{00000000-0005-0000-0000-0000C7160000}"/>
    <cellStyle name="Финансовый 119 3" xfId="5832" xr:uid="{00000000-0005-0000-0000-0000C8160000}"/>
    <cellStyle name="Финансовый 12" xfId="5833" xr:uid="{00000000-0005-0000-0000-0000C9160000}"/>
    <cellStyle name="Финансовый 120" xfId="5834" xr:uid="{00000000-0005-0000-0000-0000CA160000}"/>
    <cellStyle name="Финансовый 120 2" xfId="5835" xr:uid="{00000000-0005-0000-0000-0000CB160000}"/>
    <cellStyle name="Финансовый 120 3" xfId="5836" xr:uid="{00000000-0005-0000-0000-0000CC160000}"/>
    <cellStyle name="Финансовый 121" xfId="5837" xr:uid="{00000000-0005-0000-0000-0000CD160000}"/>
    <cellStyle name="Финансовый 121 2" xfId="5838" xr:uid="{00000000-0005-0000-0000-0000CE160000}"/>
    <cellStyle name="Финансовый 121 3" xfId="5839" xr:uid="{00000000-0005-0000-0000-0000CF160000}"/>
    <cellStyle name="Финансовый 122" xfId="5840" xr:uid="{00000000-0005-0000-0000-0000D0160000}"/>
    <cellStyle name="Финансовый 122 2" xfId="5841" xr:uid="{00000000-0005-0000-0000-0000D1160000}"/>
    <cellStyle name="Финансовый 122 3" xfId="5842" xr:uid="{00000000-0005-0000-0000-0000D2160000}"/>
    <cellStyle name="Финансовый 123" xfId="5843" xr:uid="{00000000-0005-0000-0000-0000D3160000}"/>
    <cellStyle name="Финансовый 123 2" xfId="5844" xr:uid="{00000000-0005-0000-0000-0000D4160000}"/>
    <cellStyle name="Финансовый 123 3" xfId="5845" xr:uid="{00000000-0005-0000-0000-0000D5160000}"/>
    <cellStyle name="Финансовый 124" xfId="5846" xr:uid="{00000000-0005-0000-0000-0000D6160000}"/>
    <cellStyle name="Финансовый 124 2" xfId="5847" xr:uid="{00000000-0005-0000-0000-0000D7160000}"/>
    <cellStyle name="Финансовый 124 3" xfId="5848" xr:uid="{00000000-0005-0000-0000-0000D8160000}"/>
    <cellStyle name="Финансовый 125" xfId="5849" xr:uid="{00000000-0005-0000-0000-0000D9160000}"/>
    <cellStyle name="Финансовый 125 2" xfId="5850" xr:uid="{00000000-0005-0000-0000-0000DA160000}"/>
    <cellStyle name="Финансовый 125 3" xfId="5851" xr:uid="{00000000-0005-0000-0000-0000DB160000}"/>
    <cellStyle name="Финансовый 126" xfId="5852" xr:uid="{00000000-0005-0000-0000-0000DC160000}"/>
    <cellStyle name="Финансовый 126 2" xfId="5853" xr:uid="{00000000-0005-0000-0000-0000DD160000}"/>
    <cellStyle name="Финансовый 126 3" xfId="5854" xr:uid="{00000000-0005-0000-0000-0000DE160000}"/>
    <cellStyle name="Финансовый 127" xfId="5855" xr:uid="{00000000-0005-0000-0000-0000DF160000}"/>
    <cellStyle name="Финансовый 127 2" xfId="5856" xr:uid="{00000000-0005-0000-0000-0000E0160000}"/>
    <cellStyle name="Финансовый 127 3" xfId="5857" xr:uid="{00000000-0005-0000-0000-0000E1160000}"/>
    <cellStyle name="Финансовый 128" xfId="5858" xr:uid="{00000000-0005-0000-0000-0000E2160000}"/>
    <cellStyle name="Финансовый 128 2" xfId="5859" xr:uid="{00000000-0005-0000-0000-0000E3160000}"/>
    <cellStyle name="Финансовый 128 3" xfId="5860" xr:uid="{00000000-0005-0000-0000-0000E4160000}"/>
    <cellStyle name="Финансовый 129" xfId="5861" xr:uid="{00000000-0005-0000-0000-0000E5160000}"/>
    <cellStyle name="Финансовый 129 2" xfId="5862" xr:uid="{00000000-0005-0000-0000-0000E6160000}"/>
    <cellStyle name="Финансовый 129 3" xfId="5863" xr:uid="{00000000-0005-0000-0000-0000E7160000}"/>
    <cellStyle name="Финансовый 13" xfId="5864" xr:uid="{00000000-0005-0000-0000-0000E8160000}"/>
    <cellStyle name="Финансовый 13 2" xfId="5865" xr:uid="{00000000-0005-0000-0000-0000E9160000}"/>
    <cellStyle name="Финансовый 13 2 2" xfId="5866" xr:uid="{00000000-0005-0000-0000-0000EA160000}"/>
    <cellStyle name="Финансовый 13 2 3" xfId="5867" xr:uid="{00000000-0005-0000-0000-0000EB160000}"/>
    <cellStyle name="Финансовый 13 3" xfId="5868" xr:uid="{00000000-0005-0000-0000-0000EC160000}"/>
    <cellStyle name="Финансовый 13 3 2" xfId="5869" xr:uid="{00000000-0005-0000-0000-0000ED160000}"/>
    <cellStyle name="Финансовый 13 4" xfId="5870" xr:uid="{00000000-0005-0000-0000-0000EE160000}"/>
    <cellStyle name="Финансовый 13 5" xfId="5871" xr:uid="{00000000-0005-0000-0000-0000EF160000}"/>
    <cellStyle name="Финансовый 13 6" xfId="5872" xr:uid="{00000000-0005-0000-0000-0000F0160000}"/>
    <cellStyle name="Финансовый 130" xfId="5873" xr:uid="{00000000-0005-0000-0000-0000F1160000}"/>
    <cellStyle name="Финансовый 130 2" xfId="5874" xr:uid="{00000000-0005-0000-0000-0000F2160000}"/>
    <cellStyle name="Финансовый 130 3" xfId="5875" xr:uid="{00000000-0005-0000-0000-0000F3160000}"/>
    <cellStyle name="Финансовый 131" xfId="5876" xr:uid="{00000000-0005-0000-0000-0000F4160000}"/>
    <cellStyle name="Финансовый 131 2" xfId="5877" xr:uid="{00000000-0005-0000-0000-0000F5160000}"/>
    <cellStyle name="Финансовый 131 3" xfId="5878" xr:uid="{00000000-0005-0000-0000-0000F6160000}"/>
    <cellStyle name="Финансовый 132" xfId="5879" xr:uid="{00000000-0005-0000-0000-0000F7160000}"/>
    <cellStyle name="Финансовый 132 2" xfId="5880" xr:uid="{00000000-0005-0000-0000-0000F8160000}"/>
    <cellStyle name="Финансовый 132 3" xfId="5881" xr:uid="{00000000-0005-0000-0000-0000F9160000}"/>
    <cellStyle name="Финансовый 133" xfId="5882" xr:uid="{00000000-0005-0000-0000-0000FA160000}"/>
    <cellStyle name="Финансовый 133 2" xfId="5883" xr:uid="{00000000-0005-0000-0000-0000FB160000}"/>
    <cellStyle name="Финансовый 133 3" xfId="5884" xr:uid="{00000000-0005-0000-0000-0000FC160000}"/>
    <cellStyle name="Финансовый 134" xfId="5885" xr:uid="{00000000-0005-0000-0000-0000FD160000}"/>
    <cellStyle name="Финансовый 134 2" xfId="5886" xr:uid="{00000000-0005-0000-0000-0000FE160000}"/>
    <cellStyle name="Финансовый 134 3" xfId="5887" xr:uid="{00000000-0005-0000-0000-0000FF160000}"/>
    <cellStyle name="Финансовый 135" xfId="5888" xr:uid="{00000000-0005-0000-0000-000000170000}"/>
    <cellStyle name="Финансовый 135 2" xfId="5889" xr:uid="{00000000-0005-0000-0000-000001170000}"/>
    <cellStyle name="Финансовый 135 3" xfId="5890" xr:uid="{00000000-0005-0000-0000-000002170000}"/>
    <cellStyle name="Финансовый 136" xfId="5891" xr:uid="{00000000-0005-0000-0000-000003170000}"/>
    <cellStyle name="Финансовый 136 2" xfId="5892" xr:uid="{00000000-0005-0000-0000-000004170000}"/>
    <cellStyle name="Финансовый 136 3" xfId="5893" xr:uid="{00000000-0005-0000-0000-000005170000}"/>
    <cellStyle name="Финансовый 137" xfId="5894" xr:uid="{00000000-0005-0000-0000-000006170000}"/>
    <cellStyle name="Финансовый 137 2" xfId="5895" xr:uid="{00000000-0005-0000-0000-000007170000}"/>
    <cellStyle name="Финансовый 137 3" xfId="5896" xr:uid="{00000000-0005-0000-0000-000008170000}"/>
    <cellStyle name="Финансовый 138" xfId="5897" xr:uid="{00000000-0005-0000-0000-000009170000}"/>
    <cellStyle name="Финансовый 138 2" xfId="5898" xr:uid="{00000000-0005-0000-0000-00000A170000}"/>
    <cellStyle name="Финансовый 138 3" xfId="5899" xr:uid="{00000000-0005-0000-0000-00000B170000}"/>
    <cellStyle name="Финансовый 139" xfId="5900" xr:uid="{00000000-0005-0000-0000-00000C170000}"/>
    <cellStyle name="Финансовый 139 2" xfId="5901" xr:uid="{00000000-0005-0000-0000-00000D170000}"/>
    <cellStyle name="Финансовый 139 3" xfId="5902" xr:uid="{00000000-0005-0000-0000-00000E170000}"/>
    <cellStyle name="Финансовый 14" xfId="5903" xr:uid="{00000000-0005-0000-0000-00000F170000}"/>
    <cellStyle name="Финансовый 14 2" xfId="5904" xr:uid="{00000000-0005-0000-0000-000010170000}"/>
    <cellStyle name="Финансовый 14 2 2" xfId="5905" xr:uid="{00000000-0005-0000-0000-000011170000}"/>
    <cellStyle name="Финансовый 14 2 3" xfId="5906" xr:uid="{00000000-0005-0000-0000-000012170000}"/>
    <cellStyle name="Финансовый 14 3" xfId="5907" xr:uid="{00000000-0005-0000-0000-000013170000}"/>
    <cellStyle name="Финансовый 14 3 2" xfId="5908" xr:uid="{00000000-0005-0000-0000-000014170000}"/>
    <cellStyle name="Финансовый 14 4" xfId="5909" xr:uid="{00000000-0005-0000-0000-000015170000}"/>
    <cellStyle name="Финансовый 14 5" xfId="5910" xr:uid="{00000000-0005-0000-0000-000016170000}"/>
    <cellStyle name="Финансовый 14 6" xfId="5911" xr:uid="{00000000-0005-0000-0000-000017170000}"/>
    <cellStyle name="Финансовый 140" xfId="5912" xr:uid="{00000000-0005-0000-0000-000018170000}"/>
    <cellStyle name="Финансовый 140 2" xfId="5913" xr:uid="{00000000-0005-0000-0000-000019170000}"/>
    <cellStyle name="Финансовый 140 3" xfId="5914" xr:uid="{00000000-0005-0000-0000-00001A170000}"/>
    <cellStyle name="Финансовый 141" xfId="5915" xr:uid="{00000000-0005-0000-0000-00001B170000}"/>
    <cellStyle name="Финансовый 141 2" xfId="5916" xr:uid="{00000000-0005-0000-0000-00001C170000}"/>
    <cellStyle name="Финансовый 141 3" xfId="5917" xr:uid="{00000000-0005-0000-0000-00001D170000}"/>
    <cellStyle name="Финансовый 142" xfId="5918" xr:uid="{00000000-0005-0000-0000-00001E170000}"/>
    <cellStyle name="Финансовый 142 2" xfId="5919" xr:uid="{00000000-0005-0000-0000-00001F170000}"/>
    <cellStyle name="Финансовый 142 3" xfId="5920" xr:uid="{00000000-0005-0000-0000-000020170000}"/>
    <cellStyle name="Финансовый 143" xfId="5921" xr:uid="{00000000-0005-0000-0000-000021170000}"/>
    <cellStyle name="Финансовый 143 2" xfId="5922" xr:uid="{00000000-0005-0000-0000-000022170000}"/>
    <cellStyle name="Финансовый 143 3" xfId="5923" xr:uid="{00000000-0005-0000-0000-000023170000}"/>
    <cellStyle name="Финансовый 144" xfId="5924" xr:uid="{00000000-0005-0000-0000-000024170000}"/>
    <cellStyle name="Финансовый 144 2" xfId="5925" xr:uid="{00000000-0005-0000-0000-000025170000}"/>
    <cellStyle name="Финансовый 144 3" xfId="5926" xr:uid="{00000000-0005-0000-0000-000026170000}"/>
    <cellStyle name="Финансовый 145" xfId="5927" xr:uid="{00000000-0005-0000-0000-000027170000}"/>
    <cellStyle name="Финансовый 145 2" xfId="5928" xr:uid="{00000000-0005-0000-0000-000028170000}"/>
    <cellStyle name="Финансовый 146" xfId="5929" xr:uid="{00000000-0005-0000-0000-000029170000}"/>
    <cellStyle name="Финансовый 146 2" xfId="5930" xr:uid="{00000000-0005-0000-0000-00002A170000}"/>
    <cellStyle name="Финансовый 147" xfId="5931" xr:uid="{00000000-0005-0000-0000-00002B170000}"/>
    <cellStyle name="Финансовый 147 2" xfId="5932" xr:uid="{00000000-0005-0000-0000-00002C170000}"/>
    <cellStyle name="Финансовый 148" xfId="5933" xr:uid="{00000000-0005-0000-0000-00002D170000}"/>
    <cellStyle name="Финансовый 148 2" xfId="5934" xr:uid="{00000000-0005-0000-0000-00002E170000}"/>
    <cellStyle name="Финансовый 149" xfId="5935" xr:uid="{00000000-0005-0000-0000-00002F170000}"/>
    <cellStyle name="Финансовый 149 2" xfId="5936" xr:uid="{00000000-0005-0000-0000-000030170000}"/>
    <cellStyle name="Финансовый 15" xfId="5937" xr:uid="{00000000-0005-0000-0000-000031170000}"/>
    <cellStyle name="Финансовый 15 2" xfId="5938" xr:uid="{00000000-0005-0000-0000-000032170000}"/>
    <cellStyle name="Финансовый 15 3" xfId="5939" xr:uid="{00000000-0005-0000-0000-000033170000}"/>
    <cellStyle name="Финансовый 15 4" xfId="5940" xr:uid="{00000000-0005-0000-0000-000034170000}"/>
    <cellStyle name="Финансовый 150" xfId="5941" xr:uid="{00000000-0005-0000-0000-000035170000}"/>
    <cellStyle name="Финансовый 150 2" xfId="5942" xr:uid="{00000000-0005-0000-0000-000036170000}"/>
    <cellStyle name="Финансовый 151" xfId="5943" xr:uid="{00000000-0005-0000-0000-000037170000}"/>
    <cellStyle name="Финансовый 151 2" xfId="5944" xr:uid="{00000000-0005-0000-0000-000038170000}"/>
    <cellStyle name="Финансовый 152" xfId="5945" xr:uid="{00000000-0005-0000-0000-000039170000}"/>
    <cellStyle name="Финансовый 152 2" xfId="5946" xr:uid="{00000000-0005-0000-0000-00003A170000}"/>
    <cellStyle name="Финансовый 153" xfId="5947" xr:uid="{00000000-0005-0000-0000-00003B170000}"/>
    <cellStyle name="Финансовый 153 2" xfId="5948" xr:uid="{00000000-0005-0000-0000-00003C170000}"/>
    <cellStyle name="Финансовый 154" xfId="5949" xr:uid="{00000000-0005-0000-0000-00003D170000}"/>
    <cellStyle name="Финансовый 154 2" xfId="5950" xr:uid="{00000000-0005-0000-0000-00003E170000}"/>
    <cellStyle name="Финансовый 155" xfId="5951" xr:uid="{00000000-0005-0000-0000-00003F170000}"/>
    <cellStyle name="Финансовый 155 2" xfId="5952" xr:uid="{00000000-0005-0000-0000-000040170000}"/>
    <cellStyle name="Финансовый 156" xfId="5953" xr:uid="{00000000-0005-0000-0000-000041170000}"/>
    <cellStyle name="Финансовый 156 2" xfId="5954" xr:uid="{00000000-0005-0000-0000-000042170000}"/>
    <cellStyle name="Финансовый 157" xfId="5955" xr:uid="{00000000-0005-0000-0000-000043170000}"/>
    <cellStyle name="Финансовый 158" xfId="5956" xr:uid="{00000000-0005-0000-0000-000044170000}"/>
    <cellStyle name="Финансовый 159" xfId="5957" xr:uid="{00000000-0005-0000-0000-000045170000}"/>
    <cellStyle name="Финансовый 16" xfId="5958" xr:uid="{00000000-0005-0000-0000-000046170000}"/>
    <cellStyle name="Финансовый 16 2" xfId="5959" xr:uid="{00000000-0005-0000-0000-000047170000}"/>
    <cellStyle name="Финансовый 16 3" xfId="5960" xr:uid="{00000000-0005-0000-0000-000048170000}"/>
    <cellStyle name="Финансовый 16 4" xfId="5961" xr:uid="{00000000-0005-0000-0000-000049170000}"/>
    <cellStyle name="Финансовый 160" xfId="5962" xr:uid="{00000000-0005-0000-0000-00004A170000}"/>
    <cellStyle name="Финансовый 161" xfId="5963" xr:uid="{00000000-0005-0000-0000-00004B170000}"/>
    <cellStyle name="Финансовый 162" xfId="5964" xr:uid="{00000000-0005-0000-0000-00004C170000}"/>
    <cellStyle name="Финансовый 163" xfId="5965" xr:uid="{00000000-0005-0000-0000-00004D170000}"/>
    <cellStyle name="Финансовый 164" xfId="5966" xr:uid="{00000000-0005-0000-0000-00004E170000}"/>
    <cellStyle name="Финансовый 165" xfId="5967" xr:uid="{00000000-0005-0000-0000-00004F170000}"/>
    <cellStyle name="Финансовый 166" xfId="5968" xr:uid="{00000000-0005-0000-0000-000050170000}"/>
    <cellStyle name="Финансовый 167" xfId="5969" xr:uid="{00000000-0005-0000-0000-000051170000}"/>
    <cellStyle name="Финансовый 168" xfId="5970" xr:uid="{00000000-0005-0000-0000-000052170000}"/>
    <cellStyle name="Финансовый 169" xfId="5971" xr:uid="{00000000-0005-0000-0000-000053170000}"/>
    <cellStyle name="Финансовый 17" xfId="5972" xr:uid="{00000000-0005-0000-0000-000054170000}"/>
    <cellStyle name="Финансовый 17 2" xfId="5973" xr:uid="{00000000-0005-0000-0000-000055170000}"/>
    <cellStyle name="Финансовый 17 3" xfId="5974" xr:uid="{00000000-0005-0000-0000-000056170000}"/>
    <cellStyle name="Финансовый 17 4" xfId="5975" xr:uid="{00000000-0005-0000-0000-000057170000}"/>
    <cellStyle name="Финансовый 170" xfId="5976" xr:uid="{00000000-0005-0000-0000-000058170000}"/>
    <cellStyle name="Финансовый 171" xfId="5977" xr:uid="{00000000-0005-0000-0000-000059170000}"/>
    <cellStyle name="Финансовый 172" xfId="5978" xr:uid="{00000000-0005-0000-0000-00005A170000}"/>
    <cellStyle name="Финансовый 173" xfId="5979" xr:uid="{00000000-0005-0000-0000-00005B170000}"/>
    <cellStyle name="Финансовый 174" xfId="5980" xr:uid="{00000000-0005-0000-0000-00005C170000}"/>
    <cellStyle name="Финансовый 175" xfId="5981" xr:uid="{00000000-0005-0000-0000-00005D170000}"/>
    <cellStyle name="Финансовый 176" xfId="5982" xr:uid="{00000000-0005-0000-0000-00005E170000}"/>
    <cellStyle name="Финансовый 177" xfId="5983" xr:uid="{00000000-0005-0000-0000-00005F170000}"/>
    <cellStyle name="Финансовый 178" xfId="5984" xr:uid="{00000000-0005-0000-0000-000060170000}"/>
    <cellStyle name="Финансовый 179" xfId="5985" xr:uid="{00000000-0005-0000-0000-000061170000}"/>
    <cellStyle name="Финансовый 18" xfId="5986" xr:uid="{00000000-0005-0000-0000-000062170000}"/>
    <cellStyle name="Финансовый 18 2" xfId="5987" xr:uid="{00000000-0005-0000-0000-000063170000}"/>
    <cellStyle name="Финансовый 18 3" xfId="5988" xr:uid="{00000000-0005-0000-0000-000064170000}"/>
    <cellStyle name="Финансовый 18 4" xfId="5989" xr:uid="{00000000-0005-0000-0000-000065170000}"/>
    <cellStyle name="Финансовый 180" xfId="5990" xr:uid="{00000000-0005-0000-0000-000066170000}"/>
    <cellStyle name="Финансовый 181" xfId="5991" xr:uid="{00000000-0005-0000-0000-000067170000}"/>
    <cellStyle name="Финансовый 182" xfId="5992" xr:uid="{00000000-0005-0000-0000-000068170000}"/>
    <cellStyle name="Финансовый 183" xfId="5993" xr:uid="{00000000-0005-0000-0000-000069170000}"/>
    <cellStyle name="Финансовый 184" xfId="5994" xr:uid="{00000000-0005-0000-0000-00006A170000}"/>
    <cellStyle name="Финансовый 185" xfId="5995" xr:uid="{00000000-0005-0000-0000-00006B170000}"/>
    <cellStyle name="Финансовый 186" xfId="5996" xr:uid="{00000000-0005-0000-0000-00006C170000}"/>
    <cellStyle name="Финансовый 187" xfId="5997" xr:uid="{00000000-0005-0000-0000-00006D170000}"/>
    <cellStyle name="Финансовый 188" xfId="5998" xr:uid="{00000000-0005-0000-0000-00006E170000}"/>
    <cellStyle name="Финансовый 189" xfId="5999" xr:uid="{00000000-0005-0000-0000-00006F170000}"/>
    <cellStyle name="Финансовый 19" xfId="6000" xr:uid="{00000000-0005-0000-0000-000070170000}"/>
    <cellStyle name="Финансовый 19 2" xfId="6001" xr:uid="{00000000-0005-0000-0000-000071170000}"/>
    <cellStyle name="Финансовый 19 3" xfId="6002" xr:uid="{00000000-0005-0000-0000-000072170000}"/>
    <cellStyle name="Финансовый 19 4" xfId="6003" xr:uid="{00000000-0005-0000-0000-000073170000}"/>
    <cellStyle name="Финансовый 190" xfId="6004" xr:uid="{00000000-0005-0000-0000-000074170000}"/>
    <cellStyle name="Финансовый 191" xfId="6005" xr:uid="{00000000-0005-0000-0000-000075170000}"/>
    <cellStyle name="Финансовый 192" xfId="6006" xr:uid="{00000000-0005-0000-0000-000076170000}"/>
    <cellStyle name="Финансовый 193" xfId="6007" xr:uid="{00000000-0005-0000-0000-000077170000}"/>
    <cellStyle name="Финансовый 194" xfId="6008" xr:uid="{00000000-0005-0000-0000-000078170000}"/>
    <cellStyle name="Финансовый 195" xfId="6009" xr:uid="{00000000-0005-0000-0000-000079170000}"/>
    <cellStyle name="Финансовый 196" xfId="6010" xr:uid="{00000000-0005-0000-0000-00007A170000}"/>
    <cellStyle name="Финансовый 197" xfId="6011" xr:uid="{00000000-0005-0000-0000-00007B170000}"/>
    <cellStyle name="Финансовый 198" xfId="6012" xr:uid="{00000000-0005-0000-0000-00007C170000}"/>
    <cellStyle name="Финансовый 199" xfId="6013" xr:uid="{00000000-0005-0000-0000-00007D170000}"/>
    <cellStyle name="Финансовый 2" xfId="6014" xr:uid="{00000000-0005-0000-0000-00007E170000}"/>
    <cellStyle name="Финансовый 2 10" xfId="6015" xr:uid="{00000000-0005-0000-0000-00007F170000}"/>
    <cellStyle name="Финансовый 2 10 2" xfId="6016" xr:uid="{00000000-0005-0000-0000-000080170000}"/>
    <cellStyle name="Финансовый 2 10 2 2" xfId="6017" xr:uid="{00000000-0005-0000-0000-000081170000}"/>
    <cellStyle name="Финансовый 2 10 3" xfId="6018" xr:uid="{00000000-0005-0000-0000-000082170000}"/>
    <cellStyle name="Финансовый 2 11" xfId="6019" xr:uid="{00000000-0005-0000-0000-000083170000}"/>
    <cellStyle name="Финансовый 2 12" xfId="6020" xr:uid="{00000000-0005-0000-0000-000084170000}"/>
    <cellStyle name="Финансовый 2 13" xfId="6021" xr:uid="{00000000-0005-0000-0000-000085170000}"/>
    <cellStyle name="Финансовый 2 14" xfId="6022" xr:uid="{00000000-0005-0000-0000-000086170000}"/>
    <cellStyle name="Финансовый 2 2" xfId="6023" xr:uid="{00000000-0005-0000-0000-000087170000}"/>
    <cellStyle name="Финансовый 2 2 10" xfId="6024" xr:uid="{00000000-0005-0000-0000-000088170000}"/>
    <cellStyle name="Финансовый 2 2 11" xfId="6025" xr:uid="{00000000-0005-0000-0000-000089170000}"/>
    <cellStyle name="Финансовый 2 2 12" xfId="6026" xr:uid="{00000000-0005-0000-0000-00008A170000}"/>
    <cellStyle name="Финансовый 2 2 13" xfId="6027" xr:uid="{00000000-0005-0000-0000-00008B170000}"/>
    <cellStyle name="Финансовый 2 2 2" xfId="6028" xr:uid="{00000000-0005-0000-0000-00008C170000}"/>
    <cellStyle name="Финансовый 2 2 2 2" xfId="6029" xr:uid="{00000000-0005-0000-0000-00008D170000}"/>
    <cellStyle name="Финансовый 2 2 2 3" xfId="6030" xr:uid="{00000000-0005-0000-0000-00008E170000}"/>
    <cellStyle name="Финансовый 2 2 3" xfId="6031" xr:uid="{00000000-0005-0000-0000-00008F170000}"/>
    <cellStyle name="Финансовый 2 2 4" xfId="6032" xr:uid="{00000000-0005-0000-0000-000090170000}"/>
    <cellStyle name="Финансовый 2 2 5" xfId="6033" xr:uid="{00000000-0005-0000-0000-000091170000}"/>
    <cellStyle name="Финансовый 2 2 6" xfId="6034" xr:uid="{00000000-0005-0000-0000-000092170000}"/>
    <cellStyle name="Финансовый 2 2 6 2" xfId="6035" xr:uid="{00000000-0005-0000-0000-000093170000}"/>
    <cellStyle name="Финансовый 2 2 6 2 2" xfId="6036" xr:uid="{00000000-0005-0000-0000-000094170000}"/>
    <cellStyle name="Финансовый 2 2 6 3" xfId="6037" xr:uid="{00000000-0005-0000-0000-000095170000}"/>
    <cellStyle name="Финансовый 2 2 7" xfId="6038" xr:uid="{00000000-0005-0000-0000-000096170000}"/>
    <cellStyle name="Финансовый 2 2 7 2" xfId="6039" xr:uid="{00000000-0005-0000-0000-000097170000}"/>
    <cellStyle name="Финансовый 2 2 8" xfId="6040" xr:uid="{00000000-0005-0000-0000-000098170000}"/>
    <cellStyle name="Финансовый 2 2 9" xfId="6041" xr:uid="{00000000-0005-0000-0000-000099170000}"/>
    <cellStyle name="Финансовый 2 3" xfId="6042" xr:uid="{00000000-0005-0000-0000-00009A170000}"/>
    <cellStyle name="Финансовый 2 3 2" xfId="6043" xr:uid="{00000000-0005-0000-0000-00009B170000}"/>
    <cellStyle name="Финансовый 2 3 2 2" xfId="6044" xr:uid="{00000000-0005-0000-0000-00009C170000}"/>
    <cellStyle name="Финансовый 2 3 2 2 2" xfId="6045" xr:uid="{00000000-0005-0000-0000-00009D170000}"/>
    <cellStyle name="Финансовый 2 3 2 3" xfId="6046" xr:uid="{00000000-0005-0000-0000-00009E170000}"/>
    <cellStyle name="Финансовый 2 3 2 4" xfId="6047" xr:uid="{00000000-0005-0000-0000-00009F170000}"/>
    <cellStyle name="Финансовый 2 3 3" xfId="6048" xr:uid="{00000000-0005-0000-0000-0000A0170000}"/>
    <cellStyle name="Финансовый 2 3 3 2" xfId="6049" xr:uid="{00000000-0005-0000-0000-0000A1170000}"/>
    <cellStyle name="Финансовый 2 3 3 3" xfId="6050" xr:uid="{00000000-0005-0000-0000-0000A2170000}"/>
    <cellStyle name="Финансовый 2 3 4" xfId="6051" xr:uid="{00000000-0005-0000-0000-0000A3170000}"/>
    <cellStyle name="Финансовый 2 3 5" xfId="6052" xr:uid="{00000000-0005-0000-0000-0000A4170000}"/>
    <cellStyle name="Финансовый 2 3 6" xfId="6053" xr:uid="{00000000-0005-0000-0000-0000A5170000}"/>
    <cellStyle name="Финансовый 2 4" xfId="6054" xr:uid="{00000000-0005-0000-0000-0000A6170000}"/>
    <cellStyle name="Финансовый 2 4 2" xfId="6055" xr:uid="{00000000-0005-0000-0000-0000A7170000}"/>
    <cellStyle name="Финансовый 2 4 2 2" xfId="6056" xr:uid="{00000000-0005-0000-0000-0000A8170000}"/>
    <cellStyle name="Финансовый 2 4 2 2 2" xfId="6057" xr:uid="{00000000-0005-0000-0000-0000A9170000}"/>
    <cellStyle name="Финансовый 2 4 2 3" xfId="6058" xr:uid="{00000000-0005-0000-0000-0000AA170000}"/>
    <cellStyle name="Финансовый 2 4 3" xfId="6059" xr:uid="{00000000-0005-0000-0000-0000AB170000}"/>
    <cellStyle name="Финансовый 2 4 3 2" xfId="6060" xr:uid="{00000000-0005-0000-0000-0000AC170000}"/>
    <cellStyle name="Финансовый 2 4 4" xfId="6061" xr:uid="{00000000-0005-0000-0000-0000AD170000}"/>
    <cellStyle name="Финансовый 2 4 5" xfId="6062" xr:uid="{00000000-0005-0000-0000-0000AE170000}"/>
    <cellStyle name="Финансовый 2 5" xfId="6063" xr:uid="{00000000-0005-0000-0000-0000AF170000}"/>
    <cellStyle name="Финансовый 2 5 2" xfId="6064" xr:uid="{00000000-0005-0000-0000-0000B0170000}"/>
    <cellStyle name="Финансовый 2 5 2 2" xfId="6065" xr:uid="{00000000-0005-0000-0000-0000B1170000}"/>
    <cellStyle name="Финансовый 2 5 2 2 2" xfId="6066" xr:uid="{00000000-0005-0000-0000-0000B2170000}"/>
    <cellStyle name="Финансовый 2 5 2 3" xfId="6067" xr:uid="{00000000-0005-0000-0000-0000B3170000}"/>
    <cellStyle name="Финансовый 2 5 3" xfId="6068" xr:uid="{00000000-0005-0000-0000-0000B4170000}"/>
    <cellStyle name="Финансовый 2 5 3 2" xfId="6069" xr:uid="{00000000-0005-0000-0000-0000B5170000}"/>
    <cellStyle name="Финансовый 2 5 4" xfId="6070" xr:uid="{00000000-0005-0000-0000-0000B6170000}"/>
    <cellStyle name="Финансовый 2 5 5" xfId="6071" xr:uid="{00000000-0005-0000-0000-0000B7170000}"/>
    <cellStyle name="Финансовый 2 5 5 2" xfId="6072" xr:uid="{00000000-0005-0000-0000-0000B8170000}"/>
    <cellStyle name="Финансовый 2 5 5 2 2" xfId="6073" xr:uid="{00000000-0005-0000-0000-0000B9170000}"/>
    <cellStyle name="Финансовый 2 5 5 3" xfId="6074" xr:uid="{00000000-0005-0000-0000-0000BA170000}"/>
    <cellStyle name="Финансовый 2 5 5 4" xfId="6075" xr:uid="{00000000-0005-0000-0000-0000BB170000}"/>
    <cellStyle name="Финансовый 2 5 5 5" xfId="6076" xr:uid="{00000000-0005-0000-0000-0000BC170000}"/>
    <cellStyle name="Финансовый 2 5 6" xfId="6077" xr:uid="{00000000-0005-0000-0000-0000BD170000}"/>
    <cellStyle name="Финансовый 2 6" xfId="6078" xr:uid="{00000000-0005-0000-0000-0000BE170000}"/>
    <cellStyle name="Финансовый 2 7" xfId="6079" xr:uid="{00000000-0005-0000-0000-0000BF170000}"/>
    <cellStyle name="Финансовый 2 7 2" xfId="6080" xr:uid="{00000000-0005-0000-0000-0000C0170000}"/>
    <cellStyle name="Финансовый 2 8" xfId="6081" xr:uid="{00000000-0005-0000-0000-0000C1170000}"/>
    <cellStyle name="Финансовый 2 9" xfId="6082" xr:uid="{00000000-0005-0000-0000-0000C2170000}"/>
    <cellStyle name="Финансовый 20" xfId="6083" xr:uid="{00000000-0005-0000-0000-0000C3170000}"/>
    <cellStyle name="Финансовый 20 2" xfId="6084" xr:uid="{00000000-0005-0000-0000-0000C4170000}"/>
    <cellStyle name="Финансовый 20 3" xfId="6085" xr:uid="{00000000-0005-0000-0000-0000C5170000}"/>
    <cellStyle name="Финансовый 20 4" xfId="6086" xr:uid="{00000000-0005-0000-0000-0000C6170000}"/>
    <cellStyle name="Финансовый 200" xfId="6087" xr:uid="{00000000-0005-0000-0000-0000C7170000}"/>
    <cellStyle name="Финансовый 201" xfId="6088" xr:uid="{00000000-0005-0000-0000-0000C8170000}"/>
    <cellStyle name="Финансовый 202" xfId="6089" xr:uid="{00000000-0005-0000-0000-0000C9170000}"/>
    <cellStyle name="Финансовый 203" xfId="6090" xr:uid="{00000000-0005-0000-0000-0000CA170000}"/>
    <cellStyle name="Финансовый 204" xfId="6091" xr:uid="{00000000-0005-0000-0000-0000CB170000}"/>
    <cellStyle name="Финансовый 205" xfId="6092" xr:uid="{00000000-0005-0000-0000-0000CC170000}"/>
    <cellStyle name="Финансовый 206" xfId="6093" xr:uid="{00000000-0005-0000-0000-0000CD170000}"/>
    <cellStyle name="Финансовый 207" xfId="6094" xr:uid="{00000000-0005-0000-0000-0000CE170000}"/>
    <cellStyle name="Финансовый 208" xfId="6095" xr:uid="{00000000-0005-0000-0000-0000CF170000}"/>
    <cellStyle name="Финансовый 209" xfId="6096" xr:uid="{00000000-0005-0000-0000-0000D0170000}"/>
    <cellStyle name="Финансовый 21" xfId="6097" xr:uid="{00000000-0005-0000-0000-0000D1170000}"/>
    <cellStyle name="Финансовый 21 2" xfId="6098" xr:uid="{00000000-0005-0000-0000-0000D2170000}"/>
    <cellStyle name="Финансовый 21 3" xfId="6099" xr:uid="{00000000-0005-0000-0000-0000D3170000}"/>
    <cellStyle name="Финансовый 21 4" xfId="6100" xr:uid="{00000000-0005-0000-0000-0000D4170000}"/>
    <cellStyle name="Финансовый 210" xfId="6101" xr:uid="{00000000-0005-0000-0000-0000D5170000}"/>
    <cellStyle name="Финансовый 211" xfId="6102" xr:uid="{00000000-0005-0000-0000-0000D6170000}"/>
    <cellStyle name="Финансовый 212" xfId="6103" xr:uid="{00000000-0005-0000-0000-0000D7170000}"/>
    <cellStyle name="Финансовый 213" xfId="6104" xr:uid="{00000000-0005-0000-0000-0000D8170000}"/>
    <cellStyle name="Финансовый 22" xfId="6105" xr:uid="{00000000-0005-0000-0000-0000D9170000}"/>
    <cellStyle name="Финансовый 22 2" xfId="6106" xr:uid="{00000000-0005-0000-0000-0000DA170000}"/>
    <cellStyle name="Финансовый 22 3" xfId="6107" xr:uid="{00000000-0005-0000-0000-0000DB170000}"/>
    <cellStyle name="Финансовый 22 4" xfId="6108" xr:uid="{00000000-0005-0000-0000-0000DC170000}"/>
    <cellStyle name="Финансовый 23" xfId="6109" xr:uid="{00000000-0005-0000-0000-0000DD170000}"/>
    <cellStyle name="Финансовый 23 2" xfId="6110" xr:uid="{00000000-0005-0000-0000-0000DE170000}"/>
    <cellStyle name="Финансовый 23 3" xfId="6111" xr:uid="{00000000-0005-0000-0000-0000DF170000}"/>
    <cellStyle name="Финансовый 23 4" xfId="6112" xr:uid="{00000000-0005-0000-0000-0000E0170000}"/>
    <cellStyle name="Финансовый 24" xfId="6113" xr:uid="{00000000-0005-0000-0000-0000E1170000}"/>
    <cellStyle name="Финансовый 24 2" xfId="6114" xr:uid="{00000000-0005-0000-0000-0000E2170000}"/>
    <cellStyle name="Финансовый 24 3" xfId="6115" xr:uid="{00000000-0005-0000-0000-0000E3170000}"/>
    <cellStyle name="Финансовый 24 4" xfId="6116" xr:uid="{00000000-0005-0000-0000-0000E4170000}"/>
    <cellStyle name="Финансовый 25" xfId="6117" xr:uid="{00000000-0005-0000-0000-0000E5170000}"/>
    <cellStyle name="Финансовый 25 2" xfId="6118" xr:uid="{00000000-0005-0000-0000-0000E6170000}"/>
    <cellStyle name="Финансовый 25 3" xfId="6119" xr:uid="{00000000-0005-0000-0000-0000E7170000}"/>
    <cellStyle name="Финансовый 26" xfId="6120" xr:uid="{00000000-0005-0000-0000-0000E8170000}"/>
    <cellStyle name="Финансовый 26 2" xfId="6121" xr:uid="{00000000-0005-0000-0000-0000E9170000}"/>
    <cellStyle name="Финансовый 26 3" xfId="6122" xr:uid="{00000000-0005-0000-0000-0000EA170000}"/>
    <cellStyle name="Финансовый 27" xfId="6123" xr:uid="{00000000-0005-0000-0000-0000EB170000}"/>
    <cellStyle name="Финансовый 27 2" xfId="6124" xr:uid="{00000000-0005-0000-0000-0000EC170000}"/>
    <cellStyle name="Финансовый 27 3" xfId="6125" xr:uid="{00000000-0005-0000-0000-0000ED170000}"/>
    <cellStyle name="Финансовый 28" xfId="6126" xr:uid="{00000000-0005-0000-0000-0000EE170000}"/>
    <cellStyle name="Финансовый 28 2" xfId="6127" xr:uid="{00000000-0005-0000-0000-0000EF170000}"/>
    <cellStyle name="Финансовый 28 3" xfId="6128" xr:uid="{00000000-0005-0000-0000-0000F0170000}"/>
    <cellStyle name="Финансовый 29" xfId="6129" xr:uid="{00000000-0005-0000-0000-0000F1170000}"/>
    <cellStyle name="Финансовый 29 2" xfId="6130" xr:uid="{00000000-0005-0000-0000-0000F2170000}"/>
    <cellStyle name="Финансовый 29 3" xfId="6131" xr:uid="{00000000-0005-0000-0000-0000F3170000}"/>
    <cellStyle name="Финансовый 3" xfId="6132" xr:uid="{00000000-0005-0000-0000-0000F4170000}"/>
    <cellStyle name="Финансовый 3 2" xfId="6133" xr:uid="{00000000-0005-0000-0000-0000F5170000}"/>
    <cellStyle name="Финансовый 3 2 10" xfId="6134" xr:uid="{00000000-0005-0000-0000-0000F6170000}"/>
    <cellStyle name="Финансовый 3 2 10 2" xfId="6135" xr:uid="{00000000-0005-0000-0000-0000F7170000}"/>
    <cellStyle name="Финансовый 3 2 10 2 2" xfId="6136" xr:uid="{00000000-0005-0000-0000-0000F8170000}"/>
    <cellStyle name="Финансовый 3 2 10 2 3" xfId="6137" xr:uid="{00000000-0005-0000-0000-0000F9170000}"/>
    <cellStyle name="Финансовый 3 2 10 3" xfId="6138" xr:uid="{00000000-0005-0000-0000-0000FA170000}"/>
    <cellStyle name="Финансовый 3 2 10 3 2" xfId="6139" xr:uid="{00000000-0005-0000-0000-0000FB170000}"/>
    <cellStyle name="Финансовый 3 2 10 4" xfId="6140" xr:uid="{00000000-0005-0000-0000-0000FC170000}"/>
    <cellStyle name="Финансовый 3 2 10 5" xfId="6141" xr:uid="{00000000-0005-0000-0000-0000FD170000}"/>
    <cellStyle name="Финансовый 3 2 10 6" xfId="6142" xr:uid="{00000000-0005-0000-0000-0000FE170000}"/>
    <cellStyle name="Финансовый 3 2 11" xfId="6143" xr:uid="{00000000-0005-0000-0000-0000FF170000}"/>
    <cellStyle name="Финансовый 3 2 11 2" xfId="6144" xr:uid="{00000000-0005-0000-0000-000000180000}"/>
    <cellStyle name="Финансовый 3 2 11 2 2" xfId="6145" xr:uid="{00000000-0005-0000-0000-000001180000}"/>
    <cellStyle name="Финансовый 3 2 11 2 3" xfId="6146" xr:uid="{00000000-0005-0000-0000-000002180000}"/>
    <cellStyle name="Финансовый 3 2 11 3" xfId="6147" xr:uid="{00000000-0005-0000-0000-000003180000}"/>
    <cellStyle name="Финансовый 3 2 11 3 2" xfId="6148" xr:uid="{00000000-0005-0000-0000-000004180000}"/>
    <cellStyle name="Финансовый 3 2 11 4" xfId="6149" xr:uid="{00000000-0005-0000-0000-000005180000}"/>
    <cellStyle name="Финансовый 3 2 11 5" xfId="6150" xr:uid="{00000000-0005-0000-0000-000006180000}"/>
    <cellStyle name="Финансовый 3 2 11 6" xfId="6151" xr:uid="{00000000-0005-0000-0000-000007180000}"/>
    <cellStyle name="Финансовый 3 2 12" xfId="6152" xr:uid="{00000000-0005-0000-0000-000008180000}"/>
    <cellStyle name="Финансовый 3 2 12 2" xfId="6153" xr:uid="{00000000-0005-0000-0000-000009180000}"/>
    <cellStyle name="Финансовый 3 2 12 2 2" xfId="6154" xr:uid="{00000000-0005-0000-0000-00000A180000}"/>
    <cellStyle name="Финансовый 3 2 12 2 3" xfId="6155" xr:uid="{00000000-0005-0000-0000-00000B180000}"/>
    <cellStyle name="Финансовый 3 2 12 3" xfId="6156" xr:uid="{00000000-0005-0000-0000-00000C180000}"/>
    <cellStyle name="Финансовый 3 2 12 3 2" xfId="6157" xr:uid="{00000000-0005-0000-0000-00000D180000}"/>
    <cellStyle name="Финансовый 3 2 12 4" xfId="6158" xr:uid="{00000000-0005-0000-0000-00000E180000}"/>
    <cellStyle name="Финансовый 3 2 12 5" xfId="6159" xr:uid="{00000000-0005-0000-0000-00000F180000}"/>
    <cellStyle name="Финансовый 3 2 12 6" xfId="6160" xr:uid="{00000000-0005-0000-0000-000010180000}"/>
    <cellStyle name="Финансовый 3 2 13" xfId="6161" xr:uid="{00000000-0005-0000-0000-000011180000}"/>
    <cellStyle name="Финансовый 3 2 13 2" xfId="6162" xr:uid="{00000000-0005-0000-0000-000012180000}"/>
    <cellStyle name="Финансовый 3 2 13 2 2" xfId="6163" xr:uid="{00000000-0005-0000-0000-000013180000}"/>
    <cellStyle name="Финансовый 3 2 13 2 3" xfId="6164" xr:uid="{00000000-0005-0000-0000-000014180000}"/>
    <cellStyle name="Финансовый 3 2 13 3" xfId="6165" xr:uid="{00000000-0005-0000-0000-000015180000}"/>
    <cellStyle name="Финансовый 3 2 13 3 2" xfId="6166" xr:uid="{00000000-0005-0000-0000-000016180000}"/>
    <cellStyle name="Финансовый 3 2 13 4" xfId="6167" xr:uid="{00000000-0005-0000-0000-000017180000}"/>
    <cellStyle name="Финансовый 3 2 13 5" xfId="6168" xr:uid="{00000000-0005-0000-0000-000018180000}"/>
    <cellStyle name="Финансовый 3 2 13 6" xfId="6169" xr:uid="{00000000-0005-0000-0000-000019180000}"/>
    <cellStyle name="Финансовый 3 2 14" xfId="6170" xr:uid="{00000000-0005-0000-0000-00001A180000}"/>
    <cellStyle name="Финансовый 3 2 14 2" xfId="6171" xr:uid="{00000000-0005-0000-0000-00001B180000}"/>
    <cellStyle name="Финансовый 3 2 14 2 2" xfId="6172" xr:uid="{00000000-0005-0000-0000-00001C180000}"/>
    <cellStyle name="Финансовый 3 2 14 2 3" xfId="6173" xr:uid="{00000000-0005-0000-0000-00001D180000}"/>
    <cellStyle name="Финансовый 3 2 14 3" xfId="6174" xr:uid="{00000000-0005-0000-0000-00001E180000}"/>
    <cellStyle name="Финансовый 3 2 14 3 2" xfId="6175" xr:uid="{00000000-0005-0000-0000-00001F180000}"/>
    <cellStyle name="Финансовый 3 2 14 4" xfId="6176" xr:uid="{00000000-0005-0000-0000-000020180000}"/>
    <cellStyle name="Финансовый 3 2 14 5" xfId="6177" xr:uid="{00000000-0005-0000-0000-000021180000}"/>
    <cellStyle name="Финансовый 3 2 14 6" xfId="6178" xr:uid="{00000000-0005-0000-0000-000022180000}"/>
    <cellStyle name="Финансовый 3 2 15" xfId="6179" xr:uid="{00000000-0005-0000-0000-000023180000}"/>
    <cellStyle name="Финансовый 3 2 15 2" xfId="6180" xr:uid="{00000000-0005-0000-0000-000024180000}"/>
    <cellStyle name="Финансовый 3 2 15 2 2" xfId="6181" xr:uid="{00000000-0005-0000-0000-000025180000}"/>
    <cellStyle name="Финансовый 3 2 15 2 3" xfId="6182" xr:uid="{00000000-0005-0000-0000-000026180000}"/>
    <cellStyle name="Финансовый 3 2 15 3" xfId="6183" xr:uid="{00000000-0005-0000-0000-000027180000}"/>
    <cellStyle name="Финансовый 3 2 15 3 2" xfId="6184" xr:uid="{00000000-0005-0000-0000-000028180000}"/>
    <cellStyle name="Финансовый 3 2 15 4" xfId="6185" xr:uid="{00000000-0005-0000-0000-000029180000}"/>
    <cellStyle name="Финансовый 3 2 15 5" xfId="6186" xr:uid="{00000000-0005-0000-0000-00002A180000}"/>
    <cellStyle name="Финансовый 3 2 15 6" xfId="6187" xr:uid="{00000000-0005-0000-0000-00002B180000}"/>
    <cellStyle name="Финансовый 3 2 16" xfId="6188" xr:uid="{00000000-0005-0000-0000-00002C180000}"/>
    <cellStyle name="Финансовый 3 2 17" xfId="6189" xr:uid="{00000000-0005-0000-0000-00002D180000}"/>
    <cellStyle name="Финансовый 3 2 17 2" xfId="6190" xr:uid="{00000000-0005-0000-0000-00002E180000}"/>
    <cellStyle name="Финансовый 3 2 17 3" xfId="6191" xr:uid="{00000000-0005-0000-0000-00002F180000}"/>
    <cellStyle name="Финансовый 3 2 18" xfId="6192" xr:uid="{00000000-0005-0000-0000-000030180000}"/>
    <cellStyle name="Финансовый 3 2 18 2" xfId="6193" xr:uid="{00000000-0005-0000-0000-000031180000}"/>
    <cellStyle name="Финансовый 3 2 19" xfId="6194" xr:uid="{00000000-0005-0000-0000-000032180000}"/>
    <cellStyle name="Финансовый 3 2 2" xfId="6195" xr:uid="{00000000-0005-0000-0000-000033180000}"/>
    <cellStyle name="Финансовый 3 2 2 10" xfId="6196" xr:uid="{00000000-0005-0000-0000-000034180000}"/>
    <cellStyle name="Финансовый 3 2 2 10 2" xfId="6197" xr:uid="{00000000-0005-0000-0000-000035180000}"/>
    <cellStyle name="Финансовый 3 2 2 10 2 2" xfId="6198" xr:uid="{00000000-0005-0000-0000-000036180000}"/>
    <cellStyle name="Финансовый 3 2 2 10 2 3" xfId="6199" xr:uid="{00000000-0005-0000-0000-000037180000}"/>
    <cellStyle name="Финансовый 3 2 2 10 3" xfId="6200" xr:uid="{00000000-0005-0000-0000-000038180000}"/>
    <cellStyle name="Финансовый 3 2 2 10 3 2" xfId="6201" xr:uid="{00000000-0005-0000-0000-000039180000}"/>
    <cellStyle name="Финансовый 3 2 2 10 4" xfId="6202" xr:uid="{00000000-0005-0000-0000-00003A180000}"/>
    <cellStyle name="Финансовый 3 2 2 10 5" xfId="6203" xr:uid="{00000000-0005-0000-0000-00003B180000}"/>
    <cellStyle name="Финансовый 3 2 2 10 6" xfId="6204" xr:uid="{00000000-0005-0000-0000-00003C180000}"/>
    <cellStyle name="Финансовый 3 2 2 11" xfId="6205" xr:uid="{00000000-0005-0000-0000-00003D180000}"/>
    <cellStyle name="Финансовый 3 2 2 11 2" xfId="6206" xr:uid="{00000000-0005-0000-0000-00003E180000}"/>
    <cellStyle name="Финансовый 3 2 2 11 2 2" xfId="6207" xr:uid="{00000000-0005-0000-0000-00003F180000}"/>
    <cellStyle name="Финансовый 3 2 2 11 2 3" xfId="6208" xr:uid="{00000000-0005-0000-0000-000040180000}"/>
    <cellStyle name="Финансовый 3 2 2 11 3" xfId="6209" xr:uid="{00000000-0005-0000-0000-000041180000}"/>
    <cellStyle name="Финансовый 3 2 2 11 3 2" xfId="6210" xr:uid="{00000000-0005-0000-0000-000042180000}"/>
    <cellStyle name="Финансовый 3 2 2 11 4" xfId="6211" xr:uid="{00000000-0005-0000-0000-000043180000}"/>
    <cellStyle name="Финансовый 3 2 2 11 5" xfId="6212" xr:uid="{00000000-0005-0000-0000-000044180000}"/>
    <cellStyle name="Финансовый 3 2 2 11 6" xfId="6213" xr:uid="{00000000-0005-0000-0000-000045180000}"/>
    <cellStyle name="Финансовый 3 2 2 12" xfId="6214" xr:uid="{00000000-0005-0000-0000-000046180000}"/>
    <cellStyle name="Финансовый 3 2 2 12 2" xfId="6215" xr:uid="{00000000-0005-0000-0000-000047180000}"/>
    <cellStyle name="Финансовый 3 2 2 12 2 2" xfId="6216" xr:uid="{00000000-0005-0000-0000-000048180000}"/>
    <cellStyle name="Финансовый 3 2 2 12 2 3" xfId="6217" xr:uid="{00000000-0005-0000-0000-000049180000}"/>
    <cellStyle name="Финансовый 3 2 2 12 3" xfId="6218" xr:uid="{00000000-0005-0000-0000-00004A180000}"/>
    <cellStyle name="Финансовый 3 2 2 12 3 2" xfId="6219" xr:uid="{00000000-0005-0000-0000-00004B180000}"/>
    <cellStyle name="Финансовый 3 2 2 12 4" xfId="6220" xr:uid="{00000000-0005-0000-0000-00004C180000}"/>
    <cellStyle name="Финансовый 3 2 2 12 5" xfId="6221" xr:uid="{00000000-0005-0000-0000-00004D180000}"/>
    <cellStyle name="Финансовый 3 2 2 12 6" xfId="6222" xr:uid="{00000000-0005-0000-0000-00004E180000}"/>
    <cellStyle name="Финансовый 3 2 2 13" xfId="6223" xr:uid="{00000000-0005-0000-0000-00004F180000}"/>
    <cellStyle name="Финансовый 3 2 2 13 2" xfId="6224" xr:uid="{00000000-0005-0000-0000-000050180000}"/>
    <cellStyle name="Финансовый 3 2 2 13 2 2" xfId="6225" xr:uid="{00000000-0005-0000-0000-000051180000}"/>
    <cellStyle name="Финансовый 3 2 2 13 2 3" xfId="6226" xr:uid="{00000000-0005-0000-0000-000052180000}"/>
    <cellStyle name="Финансовый 3 2 2 13 3" xfId="6227" xr:uid="{00000000-0005-0000-0000-000053180000}"/>
    <cellStyle name="Финансовый 3 2 2 13 3 2" xfId="6228" xr:uid="{00000000-0005-0000-0000-000054180000}"/>
    <cellStyle name="Финансовый 3 2 2 13 4" xfId="6229" xr:uid="{00000000-0005-0000-0000-000055180000}"/>
    <cellStyle name="Финансовый 3 2 2 13 5" xfId="6230" xr:uid="{00000000-0005-0000-0000-000056180000}"/>
    <cellStyle name="Финансовый 3 2 2 13 6" xfId="6231" xr:uid="{00000000-0005-0000-0000-000057180000}"/>
    <cellStyle name="Финансовый 3 2 2 14" xfId="6232" xr:uid="{00000000-0005-0000-0000-000058180000}"/>
    <cellStyle name="Финансовый 3 2 2 14 2" xfId="6233" xr:uid="{00000000-0005-0000-0000-000059180000}"/>
    <cellStyle name="Финансовый 3 2 2 14 3" xfId="6234" xr:uid="{00000000-0005-0000-0000-00005A180000}"/>
    <cellStyle name="Финансовый 3 2 2 15" xfId="6235" xr:uid="{00000000-0005-0000-0000-00005B180000}"/>
    <cellStyle name="Финансовый 3 2 2 15 2" xfId="6236" xr:uid="{00000000-0005-0000-0000-00005C180000}"/>
    <cellStyle name="Финансовый 3 2 2 16" xfId="6237" xr:uid="{00000000-0005-0000-0000-00005D180000}"/>
    <cellStyle name="Финансовый 3 2 2 17" xfId="6238" xr:uid="{00000000-0005-0000-0000-00005E180000}"/>
    <cellStyle name="Финансовый 3 2 2 2" xfId="6239" xr:uid="{00000000-0005-0000-0000-00005F180000}"/>
    <cellStyle name="Финансовый 3 2 2 2 2" xfId="6240" xr:uid="{00000000-0005-0000-0000-000060180000}"/>
    <cellStyle name="Финансовый 3 2 2 2 2 2" xfId="6241" xr:uid="{00000000-0005-0000-0000-000061180000}"/>
    <cellStyle name="Финансовый 3 2 2 2 2 2 2" xfId="6242" xr:uid="{00000000-0005-0000-0000-000062180000}"/>
    <cellStyle name="Финансовый 3 2 2 2 2 2 3" xfId="6243" xr:uid="{00000000-0005-0000-0000-000063180000}"/>
    <cellStyle name="Финансовый 3 2 2 2 2 3" xfId="6244" xr:uid="{00000000-0005-0000-0000-000064180000}"/>
    <cellStyle name="Финансовый 3 2 2 2 2 3 2" xfId="6245" xr:uid="{00000000-0005-0000-0000-000065180000}"/>
    <cellStyle name="Финансовый 3 2 2 2 2 4" xfId="6246" xr:uid="{00000000-0005-0000-0000-000066180000}"/>
    <cellStyle name="Финансовый 3 2 2 2 2 5" xfId="6247" xr:uid="{00000000-0005-0000-0000-000067180000}"/>
    <cellStyle name="Финансовый 3 2 2 2 2 6" xfId="6248" xr:uid="{00000000-0005-0000-0000-000068180000}"/>
    <cellStyle name="Финансовый 3 2 2 2 3" xfId="6249" xr:uid="{00000000-0005-0000-0000-000069180000}"/>
    <cellStyle name="Финансовый 3 2 2 2 3 2" xfId="6250" xr:uid="{00000000-0005-0000-0000-00006A180000}"/>
    <cellStyle name="Финансовый 3 2 2 2 3 3" xfId="6251" xr:uid="{00000000-0005-0000-0000-00006B180000}"/>
    <cellStyle name="Финансовый 3 2 2 2 4" xfId="6252" xr:uid="{00000000-0005-0000-0000-00006C180000}"/>
    <cellStyle name="Финансовый 3 2 2 2 4 2" xfId="6253" xr:uid="{00000000-0005-0000-0000-00006D180000}"/>
    <cellStyle name="Финансовый 3 2 2 2 4 3" xfId="6254" xr:uid="{00000000-0005-0000-0000-00006E180000}"/>
    <cellStyle name="Финансовый 3 2 2 2 5" xfId="6255" xr:uid="{00000000-0005-0000-0000-00006F180000}"/>
    <cellStyle name="Финансовый 3 2 2 2 6" xfId="6256" xr:uid="{00000000-0005-0000-0000-000070180000}"/>
    <cellStyle name="Финансовый 3 2 2 3" xfId="6257" xr:uid="{00000000-0005-0000-0000-000071180000}"/>
    <cellStyle name="Финансовый 3 2 2 3 2" xfId="6258" xr:uid="{00000000-0005-0000-0000-000072180000}"/>
    <cellStyle name="Финансовый 3 2 2 3 2 2" xfId="6259" xr:uid="{00000000-0005-0000-0000-000073180000}"/>
    <cellStyle name="Финансовый 3 2 2 3 2 2 2" xfId="6260" xr:uid="{00000000-0005-0000-0000-000074180000}"/>
    <cellStyle name="Финансовый 3 2 2 3 2 2 3" xfId="6261" xr:uid="{00000000-0005-0000-0000-000075180000}"/>
    <cellStyle name="Финансовый 3 2 2 3 2 3" xfId="6262" xr:uid="{00000000-0005-0000-0000-000076180000}"/>
    <cellStyle name="Финансовый 3 2 2 3 2 3 2" xfId="6263" xr:uid="{00000000-0005-0000-0000-000077180000}"/>
    <cellStyle name="Финансовый 3 2 2 3 2 4" xfId="6264" xr:uid="{00000000-0005-0000-0000-000078180000}"/>
    <cellStyle name="Финансовый 3 2 2 3 2 5" xfId="6265" xr:uid="{00000000-0005-0000-0000-000079180000}"/>
    <cellStyle name="Финансовый 3 2 2 3 2 6" xfId="6266" xr:uid="{00000000-0005-0000-0000-00007A180000}"/>
    <cellStyle name="Финансовый 3 2 2 3 3" xfId="6267" xr:uid="{00000000-0005-0000-0000-00007B180000}"/>
    <cellStyle name="Финансовый 3 2 2 3 3 2" xfId="6268" xr:uid="{00000000-0005-0000-0000-00007C180000}"/>
    <cellStyle name="Финансовый 3 2 2 3 3 3" xfId="6269" xr:uid="{00000000-0005-0000-0000-00007D180000}"/>
    <cellStyle name="Финансовый 3 2 2 3 3 4" xfId="6270" xr:uid="{00000000-0005-0000-0000-00007E180000}"/>
    <cellStyle name="Финансовый 3 2 2 3 4" xfId="6271" xr:uid="{00000000-0005-0000-0000-00007F180000}"/>
    <cellStyle name="Финансовый 3 2 2 3 4 2" xfId="6272" xr:uid="{00000000-0005-0000-0000-000080180000}"/>
    <cellStyle name="Финансовый 3 2 2 3 5" xfId="6273" xr:uid="{00000000-0005-0000-0000-000081180000}"/>
    <cellStyle name="Финансовый 3 2 2 3 6" xfId="6274" xr:uid="{00000000-0005-0000-0000-000082180000}"/>
    <cellStyle name="Финансовый 3 2 2 3 7" xfId="6275" xr:uid="{00000000-0005-0000-0000-000083180000}"/>
    <cellStyle name="Финансовый 3 2 2 4" xfId="6276" xr:uid="{00000000-0005-0000-0000-000084180000}"/>
    <cellStyle name="Финансовый 3 2 2 4 2" xfId="6277" xr:uid="{00000000-0005-0000-0000-000085180000}"/>
    <cellStyle name="Финансовый 3 2 2 4 2 2" xfId="6278" xr:uid="{00000000-0005-0000-0000-000086180000}"/>
    <cellStyle name="Финансовый 3 2 2 4 2 2 2" xfId="6279" xr:uid="{00000000-0005-0000-0000-000087180000}"/>
    <cellStyle name="Финансовый 3 2 2 4 2 2 3" xfId="6280" xr:uid="{00000000-0005-0000-0000-000088180000}"/>
    <cellStyle name="Финансовый 3 2 2 4 2 3" xfId="6281" xr:uid="{00000000-0005-0000-0000-000089180000}"/>
    <cellStyle name="Финансовый 3 2 2 4 2 3 2" xfId="6282" xr:uid="{00000000-0005-0000-0000-00008A180000}"/>
    <cellStyle name="Финансовый 3 2 2 4 2 4" xfId="6283" xr:uid="{00000000-0005-0000-0000-00008B180000}"/>
    <cellStyle name="Финансовый 3 2 2 4 2 5" xfId="6284" xr:uid="{00000000-0005-0000-0000-00008C180000}"/>
    <cellStyle name="Финансовый 3 2 2 4 2 6" xfId="6285" xr:uid="{00000000-0005-0000-0000-00008D180000}"/>
    <cellStyle name="Финансовый 3 2 2 4 3" xfId="6286" xr:uid="{00000000-0005-0000-0000-00008E180000}"/>
    <cellStyle name="Финансовый 3 2 2 4 3 2" xfId="6287" xr:uid="{00000000-0005-0000-0000-00008F180000}"/>
    <cellStyle name="Финансовый 3 2 2 4 3 3" xfId="6288" xr:uid="{00000000-0005-0000-0000-000090180000}"/>
    <cellStyle name="Финансовый 3 2 2 4 4" xfId="6289" xr:uid="{00000000-0005-0000-0000-000091180000}"/>
    <cellStyle name="Финансовый 3 2 2 4 4 2" xfId="6290" xr:uid="{00000000-0005-0000-0000-000092180000}"/>
    <cellStyle name="Финансовый 3 2 2 4 5" xfId="6291" xr:uid="{00000000-0005-0000-0000-000093180000}"/>
    <cellStyle name="Финансовый 3 2 2 4 6" xfId="6292" xr:uid="{00000000-0005-0000-0000-000094180000}"/>
    <cellStyle name="Финансовый 3 2 2 4 7" xfId="6293" xr:uid="{00000000-0005-0000-0000-000095180000}"/>
    <cellStyle name="Финансовый 3 2 2 5" xfId="6294" xr:uid="{00000000-0005-0000-0000-000096180000}"/>
    <cellStyle name="Финансовый 3 2 2 5 2" xfId="6295" xr:uid="{00000000-0005-0000-0000-000097180000}"/>
    <cellStyle name="Финансовый 3 2 2 5 2 2" xfId="6296" xr:uid="{00000000-0005-0000-0000-000098180000}"/>
    <cellStyle name="Финансовый 3 2 2 5 2 2 2" xfId="6297" xr:uid="{00000000-0005-0000-0000-000099180000}"/>
    <cellStyle name="Финансовый 3 2 2 5 2 2 3" xfId="6298" xr:uid="{00000000-0005-0000-0000-00009A180000}"/>
    <cellStyle name="Финансовый 3 2 2 5 2 3" xfId="6299" xr:uid="{00000000-0005-0000-0000-00009B180000}"/>
    <cellStyle name="Финансовый 3 2 2 5 2 3 2" xfId="6300" xr:uid="{00000000-0005-0000-0000-00009C180000}"/>
    <cellStyle name="Финансовый 3 2 2 5 2 4" xfId="6301" xr:uid="{00000000-0005-0000-0000-00009D180000}"/>
    <cellStyle name="Финансовый 3 2 2 5 2 5" xfId="6302" xr:uid="{00000000-0005-0000-0000-00009E180000}"/>
    <cellStyle name="Финансовый 3 2 2 5 2 6" xfId="6303" xr:uid="{00000000-0005-0000-0000-00009F180000}"/>
    <cellStyle name="Финансовый 3 2 2 5 3" xfId="6304" xr:uid="{00000000-0005-0000-0000-0000A0180000}"/>
    <cellStyle name="Финансовый 3 2 2 5 3 2" xfId="6305" xr:uid="{00000000-0005-0000-0000-0000A1180000}"/>
    <cellStyle name="Финансовый 3 2 2 5 3 3" xfId="6306" xr:uid="{00000000-0005-0000-0000-0000A2180000}"/>
    <cellStyle name="Финансовый 3 2 2 5 4" xfId="6307" xr:uid="{00000000-0005-0000-0000-0000A3180000}"/>
    <cellStyle name="Финансовый 3 2 2 5 4 2" xfId="6308" xr:uid="{00000000-0005-0000-0000-0000A4180000}"/>
    <cellStyle name="Финансовый 3 2 2 5 5" xfId="6309" xr:uid="{00000000-0005-0000-0000-0000A5180000}"/>
    <cellStyle name="Финансовый 3 2 2 5 6" xfId="6310" xr:uid="{00000000-0005-0000-0000-0000A6180000}"/>
    <cellStyle name="Финансовый 3 2 2 5 7" xfId="6311" xr:uid="{00000000-0005-0000-0000-0000A7180000}"/>
    <cellStyle name="Финансовый 3 2 2 6" xfId="6312" xr:uid="{00000000-0005-0000-0000-0000A8180000}"/>
    <cellStyle name="Финансовый 3 2 2 6 2" xfId="6313" xr:uid="{00000000-0005-0000-0000-0000A9180000}"/>
    <cellStyle name="Финансовый 3 2 2 6 2 2" xfId="6314" xr:uid="{00000000-0005-0000-0000-0000AA180000}"/>
    <cellStyle name="Финансовый 3 2 2 6 2 2 2" xfId="6315" xr:uid="{00000000-0005-0000-0000-0000AB180000}"/>
    <cellStyle name="Финансовый 3 2 2 6 2 2 3" xfId="6316" xr:uid="{00000000-0005-0000-0000-0000AC180000}"/>
    <cellStyle name="Финансовый 3 2 2 6 2 3" xfId="6317" xr:uid="{00000000-0005-0000-0000-0000AD180000}"/>
    <cellStyle name="Финансовый 3 2 2 6 2 3 2" xfId="6318" xr:uid="{00000000-0005-0000-0000-0000AE180000}"/>
    <cellStyle name="Финансовый 3 2 2 6 2 4" xfId="6319" xr:uid="{00000000-0005-0000-0000-0000AF180000}"/>
    <cellStyle name="Финансовый 3 2 2 6 2 5" xfId="6320" xr:uid="{00000000-0005-0000-0000-0000B0180000}"/>
    <cellStyle name="Финансовый 3 2 2 6 2 6" xfId="6321" xr:uid="{00000000-0005-0000-0000-0000B1180000}"/>
    <cellStyle name="Финансовый 3 2 2 6 3" xfId="6322" xr:uid="{00000000-0005-0000-0000-0000B2180000}"/>
    <cellStyle name="Финансовый 3 2 2 6 3 2" xfId="6323" xr:uid="{00000000-0005-0000-0000-0000B3180000}"/>
    <cellStyle name="Финансовый 3 2 2 6 3 3" xfId="6324" xr:uid="{00000000-0005-0000-0000-0000B4180000}"/>
    <cellStyle name="Финансовый 3 2 2 6 4" xfId="6325" xr:uid="{00000000-0005-0000-0000-0000B5180000}"/>
    <cellStyle name="Финансовый 3 2 2 6 4 2" xfId="6326" xr:uid="{00000000-0005-0000-0000-0000B6180000}"/>
    <cellStyle name="Финансовый 3 2 2 6 5" xfId="6327" xr:uid="{00000000-0005-0000-0000-0000B7180000}"/>
    <cellStyle name="Финансовый 3 2 2 6 6" xfId="6328" xr:uid="{00000000-0005-0000-0000-0000B8180000}"/>
    <cellStyle name="Финансовый 3 2 2 6 7" xfId="6329" xr:uid="{00000000-0005-0000-0000-0000B9180000}"/>
    <cellStyle name="Финансовый 3 2 2 7" xfId="6330" xr:uid="{00000000-0005-0000-0000-0000BA180000}"/>
    <cellStyle name="Финансовый 3 2 2 7 2" xfId="6331" xr:uid="{00000000-0005-0000-0000-0000BB180000}"/>
    <cellStyle name="Финансовый 3 2 2 7 2 2" xfId="6332" xr:uid="{00000000-0005-0000-0000-0000BC180000}"/>
    <cellStyle name="Финансовый 3 2 2 7 2 2 2" xfId="6333" xr:uid="{00000000-0005-0000-0000-0000BD180000}"/>
    <cellStyle name="Финансовый 3 2 2 7 2 2 3" xfId="6334" xr:uid="{00000000-0005-0000-0000-0000BE180000}"/>
    <cellStyle name="Финансовый 3 2 2 7 2 3" xfId="6335" xr:uid="{00000000-0005-0000-0000-0000BF180000}"/>
    <cellStyle name="Финансовый 3 2 2 7 2 3 2" xfId="6336" xr:uid="{00000000-0005-0000-0000-0000C0180000}"/>
    <cellStyle name="Финансовый 3 2 2 7 2 4" xfId="6337" xr:uid="{00000000-0005-0000-0000-0000C1180000}"/>
    <cellStyle name="Финансовый 3 2 2 7 2 5" xfId="6338" xr:uid="{00000000-0005-0000-0000-0000C2180000}"/>
    <cellStyle name="Финансовый 3 2 2 7 2 6" xfId="6339" xr:uid="{00000000-0005-0000-0000-0000C3180000}"/>
    <cellStyle name="Финансовый 3 2 2 7 3" xfId="6340" xr:uid="{00000000-0005-0000-0000-0000C4180000}"/>
    <cellStyle name="Финансовый 3 2 2 7 3 2" xfId="6341" xr:uid="{00000000-0005-0000-0000-0000C5180000}"/>
    <cellStyle name="Финансовый 3 2 2 7 3 3" xfId="6342" xr:uid="{00000000-0005-0000-0000-0000C6180000}"/>
    <cellStyle name="Финансовый 3 2 2 7 4" xfId="6343" xr:uid="{00000000-0005-0000-0000-0000C7180000}"/>
    <cellStyle name="Финансовый 3 2 2 7 4 2" xfId="6344" xr:uid="{00000000-0005-0000-0000-0000C8180000}"/>
    <cellStyle name="Финансовый 3 2 2 7 5" xfId="6345" xr:uid="{00000000-0005-0000-0000-0000C9180000}"/>
    <cellStyle name="Финансовый 3 2 2 7 6" xfId="6346" xr:uid="{00000000-0005-0000-0000-0000CA180000}"/>
    <cellStyle name="Финансовый 3 2 2 7 7" xfId="6347" xr:uid="{00000000-0005-0000-0000-0000CB180000}"/>
    <cellStyle name="Финансовый 3 2 2 8" xfId="6348" xr:uid="{00000000-0005-0000-0000-0000CC180000}"/>
    <cellStyle name="Финансовый 3 2 2 8 2" xfId="6349" xr:uid="{00000000-0005-0000-0000-0000CD180000}"/>
    <cellStyle name="Финансовый 3 2 2 8 2 2" xfId="6350" xr:uid="{00000000-0005-0000-0000-0000CE180000}"/>
    <cellStyle name="Финансовый 3 2 2 8 2 3" xfId="6351" xr:uid="{00000000-0005-0000-0000-0000CF180000}"/>
    <cellStyle name="Финансовый 3 2 2 8 3" xfId="6352" xr:uid="{00000000-0005-0000-0000-0000D0180000}"/>
    <cellStyle name="Финансовый 3 2 2 8 3 2" xfId="6353" xr:uid="{00000000-0005-0000-0000-0000D1180000}"/>
    <cellStyle name="Финансовый 3 2 2 8 4" xfId="6354" xr:uid="{00000000-0005-0000-0000-0000D2180000}"/>
    <cellStyle name="Финансовый 3 2 2 8 5" xfId="6355" xr:uid="{00000000-0005-0000-0000-0000D3180000}"/>
    <cellStyle name="Финансовый 3 2 2 8 6" xfId="6356" xr:uid="{00000000-0005-0000-0000-0000D4180000}"/>
    <cellStyle name="Финансовый 3 2 2 9" xfId="6357" xr:uid="{00000000-0005-0000-0000-0000D5180000}"/>
    <cellStyle name="Финансовый 3 2 2 9 2" xfId="6358" xr:uid="{00000000-0005-0000-0000-0000D6180000}"/>
    <cellStyle name="Финансовый 3 2 2 9 2 2" xfId="6359" xr:uid="{00000000-0005-0000-0000-0000D7180000}"/>
    <cellStyle name="Финансовый 3 2 2 9 2 3" xfId="6360" xr:uid="{00000000-0005-0000-0000-0000D8180000}"/>
    <cellStyle name="Финансовый 3 2 2 9 3" xfId="6361" xr:uid="{00000000-0005-0000-0000-0000D9180000}"/>
    <cellStyle name="Финансовый 3 2 2 9 3 2" xfId="6362" xr:uid="{00000000-0005-0000-0000-0000DA180000}"/>
    <cellStyle name="Финансовый 3 2 2 9 4" xfId="6363" xr:uid="{00000000-0005-0000-0000-0000DB180000}"/>
    <cellStyle name="Финансовый 3 2 2 9 5" xfId="6364" xr:uid="{00000000-0005-0000-0000-0000DC180000}"/>
    <cellStyle name="Финансовый 3 2 2 9 6" xfId="6365" xr:uid="{00000000-0005-0000-0000-0000DD180000}"/>
    <cellStyle name="Финансовый 3 2 20" xfId="6366" xr:uid="{00000000-0005-0000-0000-0000DE180000}"/>
    <cellStyle name="Финансовый 3 2 21" xfId="6367" xr:uid="{00000000-0005-0000-0000-0000DF180000}"/>
    <cellStyle name="Финансовый 3 2 3" xfId="6368" xr:uid="{00000000-0005-0000-0000-0000E0180000}"/>
    <cellStyle name="Финансовый 3 2 3 10" xfId="6369" xr:uid="{00000000-0005-0000-0000-0000E1180000}"/>
    <cellStyle name="Финансовый 3 2 3 10 2" xfId="6370" xr:uid="{00000000-0005-0000-0000-0000E2180000}"/>
    <cellStyle name="Финансовый 3 2 3 10 2 2" xfId="6371" xr:uid="{00000000-0005-0000-0000-0000E3180000}"/>
    <cellStyle name="Финансовый 3 2 3 10 2 3" xfId="6372" xr:uid="{00000000-0005-0000-0000-0000E4180000}"/>
    <cellStyle name="Финансовый 3 2 3 10 3" xfId="6373" xr:uid="{00000000-0005-0000-0000-0000E5180000}"/>
    <cellStyle name="Финансовый 3 2 3 10 3 2" xfId="6374" xr:uid="{00000000-0005-0000-0000-0000E6180000}"/>
    <cellStyle name="Финансовый 3 2 3 10 4" xfId="6375" xr:uid="{00000000-0005-0000-0000-0000E7180000}"/>
    <cellStyle name="Финансовый 3 2 3 10 5" xfId="6376" xr:uid="{00000000-0005-0000-0000-0000E8180000}"/>
    <cellStyle name="Финансовый 3 2 3 10 6" xfId="6377" xr:uid="{00000000-0005-0000-0000-0000E9180000}"/>
    <cellStyle name="Финансовый 3 2 3 11" xfId="6378" xr:uid="{00000000-0005-0000-0000-0000EA180000}"/>
    <cellStyle name="Финансовый 3 2 3 11 2" xfId="6379" xr:uid="{00000000-0005-0000-0000-0000EB180000}"/>
    <cellStyle name="Финансовый 3 2 3 11 2 2" xfId="6380" xr:uid="{00000000-0005-0000-0000-0000EC180000}"/>
    <cellStyle name="Финансовый 3 2 3 11 2 3" xfId="6381" xr:uid="{00000000-0005-0000-0000-0000ED180000}"/>
    <cellStyle name="Финансовый 3 2 3 11 3" xfId="6382" xr:uid="{00000000-0005-0000-0000-0000EE180000}"/>
    <cellStyle name="Финансовый 3 2 3 11 3 2" xfId="6383" xr:uid="{00000000-0005-0000-0000-0000EF180000}"/>
    <cellStyle name="Финансовый 3 2 3 11 4" xfId="6384" xr:uid="{00000000-0005-0000-0000-0000F0180000}"/>
    <cellStyle name="Финансовый 3 2 3 11 5" xfId="6385" xr:uid="{00000000-0005-0000-0000-0000F1180000}"/>
    <cellStyle name="Финансовый 3 2 3 11 6" xfId="6386" xr:uid="{00000000-0005-0000-0000-0000F2180000}"/>
    <cellStyle name="Финансовый 3 2 3 12" xfId="6387" xr:uid="{00000000-0005-0000-0000-0000F3180000}"/>
    <cellStyle name="Финансовый 3 2 3 12 2" xfId="6388" xr:uid="{00000000-0005-0000-0000-0000F4180000}"/>
    <cellStyle name="Финансовый 3 2 3 12 2 2" xfId="6389" xr:uid="{00000000-0005-0000-0000-0000F5180000}"/>
    <cellStyle name="Финансовый 3 2 3 12 2 3" xfId="6390" xr:uid="{00000000-0005-0000-0000-0000F6180000}"/>
    <cellStyle name="Финансовый 3 2 3 12 3" xfId="6391" xr:uid="{00000000-0005-0000-0000-0000F7180000}"/>
    <cellStyle name="Финансовый 3 2 3 12 3 2" xfId="6392" xr:uid="{00000000-0005-0000-0000-0000F8180000}"/>
    <cellStyle name="Финансовый 3 2 3 12 4" xfId="6393" xr:uid="{00000000-0005-0000-0000-0000F9180000}"/>
    <cellStyle name="Финансовый 3 2 3 12 5" xfId="6394" xr:uid="{00000000-0005-0000-0000-0000FA180000}"/>
    <cellStyle name="Финансовый 3 2 3 12 6" xfId="6395" xr:uid="{00000000-0005-0000-0000-0000FB180000}"/>
    <cellStyle name="Финансовый 3 2 3 13" xfId="6396" xr:uid="{00000000-0005-0000-0000-0000FC180000}"/>
    <cellStyle name="Финансовый 3 2 3 13 2" xfId="6397" xr:uid="{00000000-0005-0000-0000-0000FD180000}"/>
    <cellStyle name="Финансовый 3 2 3 13 2 2" xfId="6398" xr:uid="{00000000-0005-0000-0000-0000FE180000}"/>
    <cellStyle name="Финансовый 3 2 3 13 2 3" xfId="6399" xr:uid="{00000000-0005-0000-0000-0000FF180000}"/>
    <cellStyle name="Финансовый 3 2 3 13 3" xfId="6400" xr:uid="{00000000-0005-0000-0000-000000190000}"/>
    <cellStyle name="Финансовый 3 2 3 13 3 2" xfId="6401" xr:uid="{00000000-0005-0000-0000-000001190000}"/>
    <cellStyle name="Финансовый 3 2 3 13 4" xfId="6402" xr:uid="{00000000-0005-0000-0000-000002190000}"/>
    <cellStyle name="Финансовый 3 2 3 13 5" xfId="6403" xr:uid="{00000000-0005-0000-0000-000003190000}"/>
    <cellStyle name="Финансовый 3 2 3 13 6" xfId="6404" xr:uid="{00000000-0005-0000-0000-000004190000}"/>
    <cellStyle name="Финансовый 3 2 3 14" xfId="6405" xr:uid="{00000000-0005-0000-0000-000005190000}"/>
    <cellStyle name="Финансовый 3 2 3 15" xfId="6406" xr:uid="{00000000-0005-0000-0000-000006190000}"/>
    <cellStyle name="Финансовый 3 2 3 15 2" xfId="6407" xr:uid="{00000000-0005-0000-0000-000007190000}"/>
    <cellStyle name="Финансовый 3 2 3 15 3" xfId="6408" xr:uid="{00000000-0005-0000-0000-000008190000}"/>
    <cellStyle name="Финансовый 3 2 3 16" xfId="6409" xr:uid="{00000000-0005-0000-0000-000009190000}"/>
    <cellStyle name="Финансовый 3 2 3 16 2" xfId="6410" xr:uid="{00000000-0005-0000-0000-00000A190000}"/>
    <cellStyle name="Финансовый 3 2 3 17" xfId="6411" xr:uid="{00000000-0005-0000-0000-00000B190000}"/>
    <cellStyle name="Финансовый 3 2 3 18" xfId="6412" xr:uid="{00000000-0005-0000-0000-00000C190000}"/>
    <cellStyle name="Финансовый 3 2 3 2" xfId="6413" xr:uid="{00000000-0005-0000-0000-00000D190000}"/>
    <cellStyle name="Финансовый 3 2 3 2 2" xfId="6414" xr:uid="{00000000-0005-0000-0000-00000E190000}"/>
    <cellStyle name="Финансовый 3 2 3 2 2 2" xfId="6415" xr:uid="{00000000-0005-0000-0000-00000F190000}"/>
    <cellStyle name="Финансовый 3 2 3 2 2 2 2" xfId="6416" xr:uid="{00000000-0005-0000-0000-000010190000}"/>
    <cellStyle name="Финансовый 3 2 3 2 2 2 3" xfId="6417" xr:uid="{00000000-0005-0000-0000-000011190000}"/>
    <cellStyle name="Финансовый 3 2 3 2 2 3" xfId="6418" xr:uid="{00000000-0005-0000-0000-000012190000}"/>
    <cellStyle name="Финансовый 3 2 3 2 2 3 2" xfId="6419" xr:uid="{00000000-0005-0000-0000-000013190000}"/>
    <cellStyle name="Финансовый 3 2 3 2 2 4" xfId="6420" xr:uid="{00000000-0005-0000-0000-000014190000}"/>
    <cellStyle name="Финансовый 3 2 3 2 2 5" xfId="6421" xr:uid="{00000000-0005-0000-0000-000015190000}"/>
    <cellStyle name="Финансовый 3 2 3 2 2 6" xfId="6422" xr:uid="{00000000-0005-0000-0000-000016190000}"/>
    <cellStyle name="Финансовый 3 2 3 2 3" xfId="6423" xr:uid="{00000000-0005-0000-0000-000017190000}"/>
    <cellStyle name="Финансовый 3 2 3 2 3 2" xfId="6424" xr:uid="{00000000-0005-0000-0000-000018190000}"/>
    <cellStyle name="Финансовый 3 2 3 2 3 3" xfId="6425" xr:uid="{00000000-0005-0000-0000-000019190000}"/>
    <cellStyle name="Финансовый 3 2 3 2 4" xfId="6426" xr:uid="{00000000-0005-0000-0000-00001A190000}"/>
    <cellStyle name="Финансовый 3 2 3 2 4 2" xfId="6427" xr:uid="{00000000-0005-0000-0000-00001B190000}"/>
    <cellStyle name="Финансовый 3 2 3 2 4 3" xfId="6428" xr:uid="{00000000-0005-0000-0000-00001C190000}"/>
    <cellStyle name="Финансовый 3 2 3 2 5" xfId="6429" xr:uid="{00000000-0005-0000-0000-00001D190000}"/>
    <cellStyle name="Финансовый 3 2 3 2 6" xfId="6430" xr:uid="{00000000-0005-0000-0000-00001E190000}"/>
    <cellStyle name="Финансовый 3 2 3 3" xfId="6431" xr:uid="{00000000-0005-0000-0000-00001F190000}"/>
    <cellStyle name="Финансовый 3 2 3 3 2" xfId="6432" xr:uid="{00000000-0005-0000-0000-000020190000}"/>
    <cellStyle name="Финансовый 3 2 3 3 2 2" xfId="6433" xr:uid="{00000000-0005-0000-0000-000021190000}"/>
    <cellStyle name="Финансовый 3 2 3 3 2 2 2" xfId="6434" xr:uid="{00000000-0005-0000-0000-000022190000}"/>
    <cellStyle name="Финансовый 3 2 3 3 2 2 3" xfId="6435" xr:uid="{00000000-0005-0000-0000-000023190000}"/>
    <cellStyle name="Финансовый 3 2 3 3 2 3" xfId="6436" xr:uid="{00000000-0005-0000-0000-000024190000}"/>
    <cellStyle name="Финансовый 3 2 3 3 2 3 2" xfId="6437" xr:uid="{00000000-0005-0000-0000-000025190000}"/>
    <cellStyle name="Финансовый 3 2 3 3 2 4" xfId="6438" xr:uid="{00000000-0005-0000-0000-000026190000}"/>
    <cellStyle name="Финансовый 3 2 3 3 2 5" xfId="6439" xr:uid="{00000000-0005-0000-0000-000027190000}"/>
    <cellStyle name="Финансовый 3 2 3 3 2 6" xfId="6440" xr:uid="{00000000-0005-0000-0000-000028190000}"/>
    <cellStyle name="Финансовый 3 2 3 3 3" xfId="6441" xr:uid="{00000000-0005-0000-0000-000029190000}"/>
    <cellStyle name="Финансовый 3 2 3 3 3 2" xfId="6442" xr:uid="{00000000-0005-0000-0000-00002A190000}"/>
    <cellStyle name="Финансовый 3 2 3 3 3 3" xfId="6443" xr:uid="{00000000-0005-0000-0000-00002B190000}"/>
    <cellStyle name="Финансовый 3 2 3 3 3 4" xfId="6444" xr:uid="{00000000-0005-0000-0000-00002C190000}"/>
    <cellStyle name="Финансовый 3 2 3 3 4" xfId="6445" xr:uid="{00000000-0005-0000-0000-00002D190000}"/>
    <cellStyle name="Финансовый 3 2 3 3 4 2" xfId="6446" xr:uid="{00000000-0005-0000-0000-00002E190000}"/>
    <cellStyle name="Финансовый 3 2 3 3 5" xfId="6447" xr:uid="{00000000-0005-0000-0000-00002F190000}"/>
    <cellStyle name="Финансовый 3 2 3 3 6" xfId="6448" xr:uid="{00000000-0005-0000-0000-000030190000}"/>
    <cellStyle name="Финансовый 3 2 3 3 7" xfId="6449" xr:uid="{00000000-0005-0000-0000-000031190000}"/>
    <cellStyle name="Финансовый 3 2 3 4" xfId="6450" xr:uid="{00000000-0005-0000-0000-000032190000}"/>
    <cellStyle name="Финансовый 3 2 3 4 2" xfId="6451" xr:uid="{00000000-0005-0000-0000-000033190000}"/>
    <cellStyle name="Финансовый 3 2 3 4 2 2" xfId="6452" xr:uid="{00000000-0005-0000-0000-000034190000}"/>
    <cellStyle name="Финансовый 3 2 3 4 2 2 2" xfId="6453" xr:uid="{00000000-0005-0000-0000-000035190000}"/>
    <cellStyle name="Финансовый 3 2 3 4 2 2 3" xfId="6454" xr:uid="{00000000-0005-0000-0000-000036190000}"/>
    <cellStyle name="Финансовый 3 2 3 4 2 3" xfId="6455" xr:uid="{00000000-0005-0000-0000-000037190000}"/>
    <cellStyle name="Финансовый 3 2 3 4 2 3 2" xfId="6456" xr:uid="{00000000-0005-0000-0000-000038190000}"/>
    <cellStyle name="Финансовый 3 2 3 4 2 4" xfId="6457" xr:uid="{00000000-0005-0000-0000-000039190000}"/>
    <cellStyle name="Финансовый 3 2 3 4 2 5" xfId="6458" xr:uid="{00000000-0005-0000-0000-00003A190000}"/>
    <cellStyle name="Финансовый 3 2 3 4 2 6" xfId="6459" xr:uid="{00000000-0005-0000-0000-00003B190000}"/>
    <cellStyle name="Финансовый 3 2 3 4 3" xfId="6460" xr:uid="{00000000-0005-0000-0000-00003C190000}"/>
    <cellStyle name="Финансовый 3 2 3 4 3 2" xfId="6461" xr:uid="{00000000-0005-0000-0000-00003D190000}"/>
    <cellStyle name="Финансовый 3 2 3 4 3 3" xfId="6462" xr:uid="{00000000-0005-0000-0000-00003E190000}"/>
    <cellStyle name="Финансовый 3 2 3 4 4" xfId="6463" xr:uid="{00000000-0005-0000-0000-00003F190000}"/>
    <cellStyle name="Финансовый 3 2 3 4 4 2" xfId="6464" xr:uid="{00000000-0005-0000-0000-000040190000}"/>
    <cellStyle name="Финансовый 3 2 3 4 5" xfId="6465" xr:uid="{00000000-0005-0000-0000-000041190000}"/>
    <cellStyle name="Финансовый 3 2 3 4 6" xfId="6466" xr:uid="{00000000-0005-0000-0000-000042190000}"/>
    <cellStyle name="Финансовый 3 2 3 4 7" xfId="6467" xr:uid="{00000000-0005-0000-0000-000043190000}"/>
    <cellStyle name="Финансовый 3 2 3 5" xfId="6468" xr:uid="{00000000-0005-0000-0000-000044190000}"/>
    <cellStyle name="Финансовый 3 2 3 5 2" xfId="6469" xr:uid="{00000000-0005-0000-0000-000045190000}"/>
    <cellStyle name="Финансовый 3 2 3 5 2 2" xfId="6470" xr:uid="{00000000-0005-0000-0000-000046190000}"/>
    <cellStyle name="Финансовый 3 2 3 5 2 2 2" xfId="6471" xr:uid="{00000000-0005-0000-0000-000047190000}"/>
    <cellStyle name="Финансовый 3 2 3 5 2 2 3" xfId="6472" xr:uid="{00000000-0005-0000-0000-000048190000}"/>
    <cellStyle name="Финансовый 3 2 3 5 2 3" xfId="6473" xr:uid="{00000000-0005-0000-0000-000049190000}"/>
    <cellStyle name="Финансовый 3 2 3 5 2 3 2" xfId="6474" xr:uid="{00000000-0005-0000-0000-00004A190000}"/>
    <cellStyle name="Финансовый 3 2 3 5 2 4" xfId="6475" xr:uid="{00000000-0005-0000-0000-00004B190000}"/>
    <cellStyle name="Финансовый 3 2 3 5 2 5" xfId="6476" xr:uid="{00000000-0005-0000-0000-00004C190000}"/>
    <cellStyle name="Финансовый 3 2 3 5 2 6" xfId="6477" xr:uid="{00000000-0005-0000-0000-00004D190000}"/>
    <cellStyle name="Финансовый 3 2 3 5 3" xfId="6478" xr:uid="{00000000-0005-0000-0000-00004E190000}"/>
    <cellStyle name="Финансовый 3 2 3 5 3 2" xfId="6479" xr:uid="{00000000-0005-0000-0000-00004F190000}"/>
    <cellStyle name="Финансовый 3 2 3 5 3 3" xfId="6480" xr:uid="{00000000-0005-0000-0000-000050190000}"/>
    <cellStyle name="Финансовый 3 2 3 5 4" xfId="6481" xr:uid="{00000000-0005-0000-0000-000051190000}"/>
    <cellStyle name="Финансовый 3 2 3 5 4 2" xfId="6482" xr:uid="{00000000-0005-0000-0000-000052190000}"/>
    <cellStyle name="Финансовый 3 2 3 5 5" xfId="6483" xr:uid="{00000000-0005-0000-0000-000053190000}"/>
    <cellStyle name="Финансовый 3 2 3 5 6" xfId="6484" xr:uid="{00000000-0005-0000-0000-000054190000}"/>
    <cellStyle name="Финансовый 3 2 3 5 7" xfId="6485" xr:uid="{00000000-0005-0000-0000-000055190000}"/>
    <cellStyle name="Финансовый 3 2 3 6" xfId="6486" xr:uid="{00000000-0005-0000-0000-000056190000}"/>
    <cellStyle name="Финансовый 3 2 3 6 2" xfId="6487" xr:uid="{00000000-0005-0000-0000-000057190000}"/>
    <cellStyle name="Финансовый 3 2 3 6 2 2" xfId="6488" xr:uid="{00000000-0005-0000-0000-000058190000}"/>
    <cellStyle name="Финансовый 3 2 3 6 2 2 2" xfId="6489" xr:uid="{00000000-0005-0000-0000-000059190000}"/>
    <cellStyle name="Финансовый 3 2 3 6 2 2 3" xfId="6490" xr:uid="{00000000-0005-0000-0000-00005A190000}"/>
    <cellStyle name="Финансовый 3 2 3 6 2 3" xfId="6491" xr:uid="{00000000-0005-0000-0000-00005B190000}"/>
    <cellStyle name="Финансовый 3 2 3 6 2 3 2" xfId="6492" xr:uid="{00000000-0005-0000-0000-00005C190000}"/>
    <cellStyle name="Финансовый 3 2 3 6 2 4" xfId="6493" xr:uid="{00000000-0005-0000-0000-00005D190000}"/>
    <cellStyle name="Финансовый 3 2 3 6 2 5" xfId="6494" xr:uid="{00000000-0005-0000-0000-00005E190000}"/>
    <cellStyle name="Финансовый 3 2 3 6 2 6" xfId="6495" xr:uid="{00000000-0005-0000-0000-00005F190000}"/>
    <cellStyle name="Финансовый 3 2 3 6 3" xfId="6496" xr:uid="{00000000-0005-0000-0000-000060190000}"/>
    <cellStyle name="Финансовый 3 2 3 6 3 2" xfId="6497" xr:uid="{00000000-0005-0000-0000-000061190000}"/>
    <cellStyle name="Финансовый 3 2 3 6 3 3" xfId="6498" xr:uid="{00000000-0005-0000-0000-000062190000}"/>
    <cellStyle name="Финансовый 3 2 3 6 4" xfId="6499" xr:uid="{00000000-0005-0000-0000-000063190000}"/>
    <cellStyle name="Финансовый 3 2 3 6 4 2" xfId="6500" xr:uid="{00000000-0005-0000-0000-000064190000}"/>
    <cellStyle name="Финансовый 3 2 3 6 5" xfId="6501" xr:uid="{00000000-0005-0000-0000-000065190000}"/>
    <cellStyle name="Финансовый 3 2 3 6 6" xfId="6502" xr:uid="{00000000-0005-0000-0000-000066190000}"/>
    <cellStyle name="Финансовый 3 2 3 6 7" xfId="6503" xr:uid="{00000000-0005-0000-0000-000067190000}"/>
    <cellStyle name="Финансовый 3 2 3 7" xfId="6504" xr:uid="{00000000-0005-0000-0000-000068190000}"/>
    <cellStyle name="Финансовый 3 2 3 7 2" xfId="6505" xr:uid="{00000000-0005-0000-0000-000069190000}"/>
    <cellStyle name="Финансовый 3 2 3 7 2 2" xfId="6506" xr:uid="{00000000-0005-0000-0000-00006A190000}"/>
    <cellStyle name="Финансовый 3 2 3 7 2 2 2" xfId="6507" xr:uid="{00000000-0005-0000-0000-00006B190000}"/>
    <cellStyle name="Финансовый 3 2 3 7 2 2 3" xfId="6508" xr:uid="{00000000-0005-0000-0000-00006C190000}"/>
    <cellStyle name="Финансовый 3 2 3 7 2 3" xfId="6509" xr:uid="{00000000-0005-0000-0000-00006D190000}"/>
    <cellStyle name="Финансовый 3 2 3 7 2 3 2" xfId="6510" xr:uid="{00000000-0005-0000-0000-00006E190000}"/>
    <cellStyle name="Финансовый 3 2 3 7 2 4" xfId="6511" xr:uid="{00000000-0005-0000-0000-00006F190000}"/>
    <cellStyle name="Финансовый 3 2 3 7 2 5" xfId="6512" xr:uid="{00000000-0005-0000-0000-000070190000}"/>
    <cellStyle name="Финансовый 3 2 3 7 2 6" xfId="6513" xr:uid="{00000000-0005-0000-0000-000071190000}"/>
    <cellStyle name="Финансовый 3 2 3 7 3" xfId="6514" xr:uid="{00000000-0005-0000-0000-000072190000}"/>
    <cellStyle name="Финансовый 3 2 3 7 3 2" xfId="6515" xr:uid="{00000000-0005-0000-0000-000073190000}"/>
    <cellStyle name="Финансовый 3 2 3 7 3 3" xfId="6516" xr:uid="{00000000-0005-0000-0000-000074190000}"/>
    <cellStyle name="Финансовый 3 2 3 7 4" xfId="6517" xr:uid="{00000000-0005-0000-0000-000075190000}"/>
    <cellStyle name="Финансовый 3 2 3 7 4 2" xfId="6518" xr:uid="{00000000-0005-0000-0000-000076190000}"/>
    <cellStyle name="Финансовый 3 2 3 7 5" xfId="6519" xr:uid="{00000000-0005-0000-0000-000077190000}"/>
    <cellStyle name="Финансовый 3 2 3 7 6" xfId="6520" xr:uid="{00000000-0005-0000-0000-000078190000}"/>
    <cellStyle name="Финансовый 3 2 3 7 7" xfId="6521" xr:uid="{00000000-0005-0000-0000-000079190000}"/>
    <cellStyle name="Финансовый 3 2 3 8" xfId="6522" xr:uid="{00000000-0005-0000-0000-00007A190000}"/>
    <cellStyle name="Финансовый 3 2 3 8 2" xfId="6523" xr:uid="{00000000-0005-0000-0000-00007B190000}"/>
    <cellStyle name="Финансовый 3 2 3 8 2 2" xfId="6524" xr:uid="{00000000-0005-0000-0000-00007C190000}"/>
    <cellStyle name="Финансовый 3 2 3 8 2 3" xfId="6525" xr:uid="{00000000-0005-0000-0000-00007D190000}"/>
    <cellStyle name="Финансовый 3 2 3 8 3" xfId="6526" xr:uid="{00000000-0005-0000-0000-00007E190000}"/>
    <cellStyle name="Финансовый 3 2 3 8 3 2" xfId="6527" xr:uid="{00000000-0005-0000-0000-00007F190000}"/>
    <cellStyle name="Финансовый 3 2 3 8 4" xfId="6528" xr:uid="{00000000-0005-0000-0000-000080190000}"/>
    <cellStyle name="Финансовый 3 2 3 8 5" xfId="6529" xr:uid="{00000000-0005-0000-0000-000081190000}"/>
    <cellStyle name="Финансовый 3 2 3 8 6" xfId="6530" xr:uid="{00000000-0005-0000-0000-000082190000}"/>
    <cellStyle name="Финансовый 3 2 3 9" xfId="6531" xr:uid="{00000000-0005-0000-0000-000083190000}"/>
    <cellStyle name="Финансовый 3 2 3 9 2" xfId="6532" xr:uid="{00000000-0005-0000-0000-000084190000}"/>
    <cellStyle name="Финансовый 3 2 3 9 2 2" xfId="6533" xr:uid="{00000000-0005-0000-0000-000085190000}"/>
    <cellStyle name="Финансовый 3 2 3 9 2 3" xfId="6534" xr:uid="{00000000-0005-0000-0000-000086190000}"/>
    <cellStyle name="Финансовый 3 2 3 9 3" xfId="6535" xr:uid="{00000000-0005-0000-0000-000087190000}"/>
    <cellStyle name="Финансовый 3 2 3 9 3 2" xfId="6536" xr:uid="{00000000-0005-0000-0000-000088190000}"/>
    <cellStyle name="Финансовый 3 2 3 9 4" xfId="6537" xr:uid="{00000000-0005-0000-0000-000089190000}"/>
    <cellStyle name="Финансовый 3 2 3 9 5" xfId="6538" xr:uid="{00000000-0005-0000-0000-00008A190000}"/>
    <cellStyle name="Финансовый 3 2 3 9 6" xfId="6539" xr:uid="{00000000-0005-0000-0000-00008B190000}"/>
    <cellStyle name="Финансовый 3 2 4" xfId="6540" xr:uid="{00000000-0005-0000-0000-00008C190000}"/>
    <cellStyle name="Финансовый 3 2 4 2" xfId="6541" xr:uid="{00000000-0005-0000-0000-00008D190000}"/>
    <cellStyle name="Финансовый 3 2 4 2 2" xfId="6542" xr:uid="{00000000-0005-0000-0000-00008E190000}"/>
    <cellStyle name="Финансовый 3 2 4 2 2 2" xfId="6543" xr:uid="{00000000-0005-0000-0000-00008F190000}"/>
    <cellStyle name="Финансовый 3 2 4 2 2 3" xfId="6544" xr:uid="{00000000-0005-0000-0000-000090190000}"/>
    <cellStyle name="Финансовый 3 2 4 2 3" xfId="6545" xr:uid="{00000000-0005-0000-0000-000091190000}"/>
    <cellStyle name="Финансовый 3 2 4 2 3 2" xfId="6546" xr:uid="{00000000-0005-0000-0000-000092190000}"/>
    <cellStyle name="Финансовый 3 2 4 2 4" xfId="6547" xr:uid="{00000000-0005-0000-0000-000093190000}"/>
    <cellStyle name="Финансовый 3 2 4 2 5" xfId="6548" xr:uid="{00000000-0005-0000-0000-000094190000}"/>
    <cellStyle name="Финансовый 3 2 4 2 6" xfId="6549" xr:uid="{00000000-0005-0000-0000-000095190000}"/>
    <cellStyle name="Финансовый 3 2 4 3" xfId="6550" xr:uid="{00000000-0005-0000-0000-000096190000}"/>
    <cellStyle name="Финансовый 3 2 4 4" xfId="6551" xr:uid="{00000000-0005-0000-0000-000097190000}"/>
    <cellStyle name="Финансовый 3 2 4 4 2" xfId="6552" xr:uid="{00000000-0005-0000-0000-000098190000}"/>
    <cellStyle name="Финансовый 3 2 4 4 3" xfId="6553" xr:uid="{00000000-0005-0000-0000-000099190000}"/>
    <cellStyle name="Финансовый 3 2 4 5" xfId="6554" xr:uid="{00000000-0005-0000-0000-00009A190000}"/>
    <cellStyle name="Финансовый 3 2 4 5 2" xfId="6555" xr:uid="{00000000-0005-0000-0000-00009B190000}"/>
    <cellStyle name="Финансовый 3 2 4 5 3" xfId="6556" xr:uid="{00000000-0005-0000-0000-00009C190000}"/>
    <cellStyle name="Финансовый 3 2 4 6" xfId="6557" xr:uid="{00000000-0005-0000-0000-00009D190000}"/>
    <cellStyle name="Финансовый 3 2 4 7" xfId="6558" xr:uid="{00000000-0005-0000-0000-00009E190000}"/>
    <cellStyle name="Финансовый 3 2 5" xfId="6559" xr:uid="{00000000-0005-0000-0000-00009F190000}"/>
    <cellStyle name="Финансовый 3 2 5 2" xfId="6560" xr:uid="{00000000-0005-0000-0000-0000A0190000}"/>
    <cellStyle name="Финансовый 3 2 5 2 2" xfId="6561" xr:uid="{00000000-0005-0000-0000-0000A1190000}"/>
    <cellStyle name="Финансовый 3 2 5 2 2 2" xfId="6562" xr:uid="{00000000-0005-0000-0000-0000A2190000}"/>
    <cellStyle name="Финансовый 3 2 5 2 2 3" xfId="6563" xr:uid="{00000000-0005-0000-0000-0000A3190000}"/>
    <cellStyle name="Финансовый 3 2 5 2 3" xfId="6564" xr:uid="{00000000-0005-0000-0000-0000A4190000}"/>
    <cellStyle name="Финансовый 3 2 5 2 3 2" xfId="6565" xr:uid="{00000000-0005-0000-0000-0000A5190000}"/>
    <cellStyle name="Финансовый 3 2 5 2 4" xfId="6566" xr:uid="{00000000-0005-0000-0000-0000A6190000}"/>
    <cellStyle name="Финансовый 3 2 5 2 5" xfId="6567" xr:uid="{00000000-0005-0000-0000-0000A7190000}"/>
    <cellStyle name="Финансовый 3 2 5 2 6" xfId="6568" xr:uid="{00000000-0005-0000-0000-0000A8190000}"/>
    <cellStyle name="Финансовый 3 2 5 3" xfId="6569" xr:uid="{00000000-0005-0000-0000-0000A9190000}"/>
    <cellStyle name="Финансовый 3 2 5 4" xfId="6570" xr:uid="{00000000-0005-0000-0000-0000AA190000}"/>
    <cellStyle name="Финансовый 3 2 5 4 2" xfId="6571" xr:uid="{00000000-0005-0000-0000-0000AB190000}"/>
    <cellStyle name="Финансовый 3 2 5 4 3" xfId="6572" xr:uid="{00000000-0005-0000-0000-0000AC190000}"/>
    <cellStyle name="Финансовый 3 2 5 4 4" xfId="6573" xr:uid="{00000000-0005-0000-0000-0000AD190000}"/>
    <cellStyle name="Финансовый 3 2 5 5" xfId="6574" xr:uid="{00000000-0005-0000-0000-0000AE190000}"/>
    <cellStyle name="Финансовый 3 2 5 5 2" xfId="6575" xr:uid="{00000000-0005-0000-0000-0000AF190000}"/>
    <cellStyle name="Финансовый 3 2 5 6" xfId="6576" xr:uid="{00000000-0005-0000-0000-0000B0190000}"/>
    <cellStyle name="Финансовый 3 2 5 7" xfId="6577" xr:uid="{00000000-0005-0000-0000-0000B1190000}"/>
    <cellStyle name="Финансовый 3 2 5 8" xfId="6578" xr:uid="{00000000-0005-0000-0000-0000B2190000}"/>
    <cellStyle name="Финансовый 3 2 6" xfId="6579" xr:uid="{00000000-0005-0000-0000-0000B3190000}"/>
    <cellStyle name="Финансовый 3 2 6 2" xfId="6580" xr:uid="{00000000-0005-0000-0000-0000B4190000}"/>
    <cellStyle name="Финансовый 3 2 6 2 2" xfId="6581" xr:uid="{00000000-0005-0000-0000-0000B5190000}"/>
    <cellStyle name="Финансовый 3 2 6 2 2 2" xfId="6582" xr:uid="{00000000-0005-0000-0000-0000B6190000}"/>
    <cellStyle name="Финансовый 3 2 6 2 2 3" xfId="6583" xr:uid="{00000000-0005-0000-0000-0000B7190000}"/>
    <cellStyle name="Финансовый 3 2 6 2 3" xfId="6584" xr:uid="{00000000-0005-0000-0000-0000B8190000}"/>
    <cellStyle name="Финансовый 3 2 6 2 3 2" xfId="6585" xr:uid="{00000000-0005-0000-0000-0000B9190000}"/>
    <cellStyle name="Финансовый 3 2 6 2 4" xfId="6586" xr:uid="{00000000-0005-0000-0000-0000BA190000}"/>
    <cellStyle name="Финансовый 3 2 6 2 5" xfId="6587" xr:uid="{00000000-0005-0000-0000-0000BB190000}"/>
    <cellStyle name="Финансовый 3 2 6 2 6" xfId="6588" xr:uid="{00000000-0005-0000-0000-0000BC190000}"/>
    <cellStyle name="Финансовый 3 2 6 3" xfId="6589" xr:uid="{00000000-0005-0000-0000-0000BD190000}"/>
    <cellStyle name="Финансовый 3 2 6 3 2" xfId="6590" xr:uid="{00000000-0005-0000-0000-0000BE190000}"/>
    <cellStyle name="Финансовый 3 2 6 3 3" xfId="6591" xr:uid="{00000000-0005-0000-0000-0000BF190000}"/>
    <cellStyle name="Финансовый 3 2 6 4" xfId="6592" xr:uid="{00000000-0005-0000-0000-0000C0190000}"/>
    <cellStyle name="Финансовый 3 2 6 4 2" xfId="6593" xr:uid="{00000000-0005-0000-0000-0000C1190000}"/>
    <cellStyle name="Финансовый 3 2 6 5" xfId="6594" xr:uid="{00000000-0005-0000-0000-0000C2190000}"/>
    <cellStyle name="Финансовый 3 2 6 6" xfId="6595" xr:uid="{00000000-0005-0000-0000-0000C3190000}"/>
    <cellStyle name="Финансовый 3 2 6 7" xfId="6596" xr:uid="{00000000-0005-0000-0000-0000C4190000}"/>
    <cellStyle name="Финансовый 3 2 7" xfId="6597" xr:uid="{00000000-0005-0000-0000-0000C5190000}"/>
    <cellStyle name="Финансовый 3 2 7 2" xfId="6598" xr:uid="{00000000-0005-0000-0000-0000C6190000}"/>
    <cellStyle name="Финансовый 3 2 7 2 2" xfId="6599" xr:uid="{00000000-0005-0000-0000-0000C7190000}"/>
    <cellStyle name="Финансовый 3 2 7 2 2 2" xfId="6600" xr:uid="{00000000-0005-0000-0000-0000C8190000}"/>
    <cellStyle name="Финансовый 3 2 7 2 2 3" xfId="6601" xr:uid="{00000000-0005-0000-0000-0000C9190000}"/>
    <cellStyle name="Финансовый 3 2 7 2 3" xfId="6602" xr:uid="{00000000-0005-0000-0000-0000CA190000}"/>
    <cellStyle name="Финансовый 3 2 7 2 3 2" xfId="6603" xr:uid="{00000000-0005-0000-0000-0000CB190000}"/>
    <cellStyle name="Финансовый 3 2 7 2 4" xfId="6604" xr:uid="{00000000-0005-0000-0000-0000CC190000}"/>
    <cellStyle name="Финансовый 3 2 7 2 5" xfId="6605" xr:uid="{00000000-0005-0000-0000-0000CD190000}"/>
    <cellStyle name="Финансовый 3 2 7 2 6" xfId="6606" xr:uid="{00000000-0005-0000-0000-0000CE190000}"/>
    <cellStyle name="Финансовый 3 2 7 3" xfId="6607" xr:uid="{00000000-0005-0000-0000-0000CF190000}"/>
    <cellStyle name="Финансовый 3 2 7 3 2" xfId="6608" xr:uid="{00000000-0005-0000-0000-0000D0190000}"/>
    <cellStyle name="Финансовый 3 2 7 3 3" xfId="6609" xr:uid="{00000000-0005-0000-0000-0000D1190000}"/>
    <cellStyle name="Финансовый 3 2 7 4" xfId="6610" xr:uid="{00000000-0005-0000-0000-0000D2190000}"/>
    <cellStyle name="Финансовый 3 2 7 4 2" xfId="6611" xr:uid="{00000000-0005-0000-0000-0000D3190000}"/>
    <cellStyle name="Финансовый 3 2 7 5" xfId="6612" xr:uid="{00000000-0005-0000-0000-0000D4190000}"/>
    <cellStyle name="Финансовый 3 2 7 6" xfId="6613" xr:uid="{00000000-0005-0000-0000-0000D5190000}"/>
    <cellStyle name="Финансовый 3 2 7 7" xfId="6614" xr:uid="{00000000-0005-0000-0000-0000D6190000}"/>
    <cellStyle name="Финансовый 3 2 8" xfId="6615" xr:uid="{00000000-0005-0000-0000-0000D7190000}"/>
    <cellStyle name="Финансовый 3 2 8 2" xfId="6616" xr:uid="{00000000-0005-0000-0000-0000D8190000}"/>
    <cellStyle name="Финансовый 3 2 8 2 2" xfId="6617" xr:uid="{00000000-0005-0000-0000-0000D9190000}"/>
    <cellStyle name="Финансовый 3 2 8 2 2 2" xfId="6618" xr:uid="{00000000-0005-0000-0000-0000DA190000}"/>
    <cellStyle name="Финансовый 3 2 8 2 2 3" xfId="6619" xr:uid="{00000000-0005-0000-0000-0000DB190000}"/>
    <cellStyle name="Финансовый 3 2 8 2 3" xfId="6620" xr:uid="{00000000-0005-0000-0000-0000DC190000}"/>
    <cellStyle name="Финансовый 3 2 8 2 3 2" xfId="6621" xr:uid="{00000000-0005-0000-0000-0000DD190000}"/>
    <cellStyle name="Финансовый 3 2 8 2 4" xfId="6622" xr:uid="{00000000-0005-0000-0000-0000DE190000}"/>
    <cellStyle name="Финансовый 3 2 8 2 5" xfId="6623" xr:uid="{00000000-0005-0000-0000-0000DF190000}"/>
    <cellStyle name="Финансовый 3 2 8 2 6" xfId="6624" xr:uid="{00000000-0005-0000-0000-0000E0190000}"/>
    <cellStyle name="Финансовый 3 2 8 3" xfId="6625" xr:uid="{00000000-0005-0000-0000-0000E1190000}"/>
    <cellStyle name="Финансовый 3 2 8 3 2" xfId="6626" xr:uid="{00000000-0005-0000-0000-0000E2190000}"/>
    <cellStyle name="Финансовый 3 2 8 3 3" xfId="6627" xr:uid="{00000000-0005-0000-0000-0000E3190000}"/>
    <cellStyle name="Финансовый 3 2 8 4" xfId="6628" xr:uid="{00000000-0005-0000-0000-0000E4190000}"/>
    <cellStyle name="Финансовый 3 2 8 4 2" xfId="6629" xr:uid="{00000000-0005-0000-0000-0000E5190000}"/>
    <cellStyle name="Финансовый 3 2 8 5" xfId="6630" xr:uid="{00000000-0005-0000-0000-0000E6190000}"/>
    <cellStyle name="Финансовый 3 2 8 6" xfId="6631" xr:uid="{00000000-0005-0000-0000-0000E7190000}"/>
    <cellStyle name="Финансовый 3 2 8 7" xfId="6632" xr:uid="{00000000-0005-0000-0000-0000E8190000}"/>
    <cellStyle name="Финансовый 3 2 9" xfId="6633" xr:uid="{00000000-0005-0000-0000-0000E9190000}"/>
    <cellStyle name="Финансовый 3 2 9 2" xfId="6634" xr:uid="{00000000-0005-0000-0000-0000EA190000}"/>
    <cellStyle name="Финансовый 3 2 9 2 2" xfId="6635" xr:uid="{00000000-0005-0000-0000-0000EB190000}"/>
    <cellStyle name="Финансовый 3 2 9 2 2 2" xfId="6636" xr:uid="{00000000-0005-0000-0000-0000EC190000}"/>
    <cellStyle name="Финансовый 3 2 9 2 2 3" xfId="6637" xr:uid="{00000000-0005-0000-0000-0000ED190000}"/>
    <cellStyle name="Финансовый 3 2 9 2 3" xfId="6638" xr:uid="{00000000-0005-0000-0000-0000EE190000}"/>
    <cellStyle name="Финансовый 3 2 9 2 3 2" xfId="6639" xr:uid="{00000000-0005-0000-0000-0000EF190000}"/>
    <cellStyle name="Финансовый 3 2 9 2 4" xfId="6640" xr:uid="{00000000-0005-0000-0000-0000F0190000}"/>
    <cellStyle name="Финансовый 3 2 9 2 5" xfId="6641" xr:uid="{00000000-0005-0000-0000-0000F1190000}"/>
    <cellStyle name="Финансовый 3 2 9 2 6" xfId="6642" xr:uid="{00000000-0005-0000-0000-0000F2190000}"/>
    <cellStyle name="Финансовый 3 2 9 3" xfId="6643" xr:uid="{00000000-0005-0000-0000-0000F3190000}"/>
    <cellStyle name="Финансовый 3 2 9 3 2" xfId="6644" xr:uid="{00000000-0005-0000-0000-0000F4190000}"/>
    <cellStyle name="Финансовый 3 2 9 3 3" xfId="6645" xr:uid="{00000000-0005-0000-0000-0000F5190000}"/>
    <cellStyle name="Финансовый 3 2 9 4" xfId="6646" xr:uid="{00000000-0005-0000-0000-0000F6190000}"/>
    <cellStyle name="Финансовый 3 2 9 4 2" xfId="6647" xr:uid="{00000000-0005-0000-0000-0000F7190000}"/>
    <cellStyle name="Финансовый 3 2 9 5" xfId="6648" xr:uid="{00000000-0005-0000-0000-0000F8190000}"/>
    <cellStyle name="Финансовый 3 2 9 6" xfId="6649" xr:uid="{00000000-0005-0000-0000-0000F9190000}"/>
    <cellStyle name="Финансовый 3 2 9 7" xfId="6650" xr:uid="{00000000-0005-0000-0000-0000FA190000}"/>
    <cellStyle name="Финансовый 3 3" xfId="6651" xr:uid="{00000000-0005-0000-0000-0000FB190000}"/>
    <cellStyle name="Финансовый 3 3 2" xfId="6652" xr:uid="{00000000-0005-0000-0000-0000FC190000}"/>
    <cellStyle name="Финансовый 3 3 2 2" xfId="6653" xr:uid="{00000000-0005-0000-0000-0000FD190000}"/>
    <cellStyle name="Финансовый 3 3 3" xfId="6654" xr:uid="{00000000-0005-0000-0000-0000FE190000}"/>
    <cellStyle name="Финансовый 3 3 4" xfId="6655" xr:uid="{00000000-0005-0000-0000-0000FF190000}"/>
    <cellStyle name="Финансовый 3 4" xfId="6656" xr:uid="{00000000-0005-0000-0000-0000001A0000}"/>
    <cellStyle name="Финансовый 3 5" xfId="6657" xr:uid="{00000000-0005-0000-0000-0000011A0000}"/>
    <cellStyle name="Финансовый 30" xfId="6658" xr:uid="{00000000-0005-0000-0000-0000021A0000}"/>
    <cellStyle name="Финансовый 30 2" xfId="6659" xr:uid="{00000000-0005-0000-0000-0000031A0000}"/>
    <cellStyle name="Финансовый 30 3" xfId="6660" xr:uid="{00000000-0005-0000-0000-0000041A0000}"/>
    <cellStyle name="Финансовый 31" xfId="6661" xr:uid="{00000000-0005-0000-0000-0000051A0000}"/>
    <cellStyle name="Финансовый 31 2" xfId="6662" xr:uid="{00000000-0005-0000-0000-0000061A0000}"/>
    <cellStyle name="Финансовый 31 3" xfId="6663" xr:uid="{00000000-0005-0000-0000-0000071A0000}"/>
    <cellStyle name="Финансовый 32" xfId="6664" xr:uid="{00000000-0005-0000-0000-0000081A0000}"/>
    <cellStyle name="Финансовый 32 2" xfId="6665" xr:uid="{00000000-0005-0000-0000-0000091A0000}"/>
    <cellStyle name="Финансовый 32 3" xfId="6666" xr:uid="{00000000-0005-0000-0000-00000A1A0000}"/>
    <cellStyle name="Финансовый 33" xfId="6667" xr:uid="{00000000-0005-0000-0000-00000B1A0000}"/>
    <cellStyle name="Финансовый 33 2" xfId="6668" xr:uid="{00000000-0005-0000-0000-00000C1A0000}"/>
    <cellStyle name="Финансовый 33 3" xfId="6669" xr:uid="{00000000-0005-0000-0000-00000D1A0000}"/>
    <cellStyle name="Финансовый 34" xfId="6670" xr:uid="{00000000-0005-0000-0000-00000E1A0000}"/>
    <cellStyle name="Финансовый 34 2" xfId="6671" xr:uid="{00000000-0005-0000-0000-00000F1A0000}"/>
    <cellStyle name="Финансовый 34 3" xfId="6672" xr:uid="{00000000-0005-0000-0000-0000101A0000}"/>
    <cellStyle name="Финансовый 35" xfId="6673" xr:uid="{00000000-0005-0000-0000-0000111A0000}"/>
    <cellStyle name="Финансовый 35 2" xfId="6674" xr:uid="{00000000-0005-0000-0000-0000121A0000}"/>
    <cellStyle name="Финансовый 35 3" xfId="6675" xr:uid="{00000000-0005-0000-0000-0000131A0000}"/>
    <cellStyle name="Финансовый 36" xfId="6676" xr:uid="{00000000-0005-0000-0000-0000141A0000}"/>
    <cellStyle name="Финансовый 36 2" xfId="6677" xr:uid="{00000000-0005-0000-0000-0000151A0000}"/>
    <cellStyle name="Финансовый 36 3" xfId="6678" xr:uid="{00000000-0005-0000-0000-0000161A0000}"/>
    <cellStyle name="Финансовый 37" xfId="6679" xr:uid="{00000000-0005-0000-0000-0000171A0000}"/>
    <cellStyle name="Финансовый 37 2" xfId="6680" xr:uid="{00000000-0005-0000-0000-0000181A0000}"/>
    <cellStyle name="Финансовый 37 3" xfId="6681" xr:uid="{00000000-0005-0000-0000-0000191A0000}"/>
    <cellStyle name="Финансовый 38" xfId="6682" xr:uid="{00000000-0005-0000-0000-00001A1A0000}"/>
    <cellStyle name="Финансовый 38 2" xfId="6683" xr:uid="{00000000-0005-0000-0000-00001B1A0000}"/>
    <cellStyle name="Финансовый 38 3" xfId="6684" xr:uid="{00000000-0005-0000-0000-00001C1A0000}"/>
    <cellStyle name="Финансовый 39" xfId="6685" xr:uid="{00000000-0005-0000-0000-00001D1A0000}"/>
    <cellStyle name="Финансовый 39 2" xfId="6686" xr:uid="{00000000-0005-0000-0000-00001E1A0000}"/>
    <cellStyle name="Финансовый 39 3" xfId="6687" xr:uid="{00000000-0005-0000-0000-00001F1A0000}"/>
    <cellStyle name="Финансовый 4" xfId="6688" xr:uid="{00000000-0005-0000-0000-0000201A0000}"/>
    <cellStyle name="Финансовый 4 2" xfId="6689" xr:uid="{00000000-0005-0000-0000-0000211A0000}"/>
    <cellStyle name="Финансовый 4 2 2" xfId="6690" xr:uid="{00000000-0005-0000-0000-0000221A0000}"/>
    <cellStyle name="Финансовый 4 2 2 2" xfId="6691" xr:uid="{00000000-0005-0000-0000-0000231A0000}"/>
    <cellStyle name="Финансовый 4 2 3" xfId="6692" xr:uid="{00000000-0005-0000-0000-0000241A0000}"/>
    <cellStyle name="Финансовый 4 2 4" xfId="6693" xr:uid="{00000000-0005-0000-0000-0000251A0000}"/>
    <cellStyle name="Финансовый 4 3" xfId="6694" xr:uid="{00000000-0005-0000-0000-0000261A0000}"/>
    <cellStyle name="Финансовый 4 3 2" xfId="6695" xr:uid="{00000000-0005-0000-0000-0000271A0000}"/>
    <cellStyle name="Финансовый 4 3 2 2" xfId="6696" xr:uid="{00000000-0005-0000-0000-0000281A0000}"/>
    <cellStyle name="Финансовый 4 3 3" xfId="6697" xr:uid="{00000000-0005-0000-0000-0000291A0000}"/>
    <cellStyle name="Финансовый 4 3 4" xfId="6698" xr:uid="{00000000-0005-0000-0000-00002A1A0000}"/>
    <cellStyle name="Финансовый 4 4" xfId="6699" xr:uid="{00000000-0005-0000-0000-00002B1A0000}"/>
    <cellStyle name="Финансовый 4 4 2" xfId="6700" xr:uid="{00000000-0005-0000-0000-00002C1A0000}"/>
    <cellStyle name="Финансовый 4 5" xfId="6701" xr:uid="{00000000-0005-0000-0000-00002D1A0000}"/>
    <cellStyle name="Финансовый 4 6" xfId="6702" xr:uid="{00000000-0005-0000-0000-00002E1A0000}"/>
    <cellStyle name="Финансовый 40" xfId="6703" xr:uid="{00000000-0005-0000-0000-00002F1A0000}"/>
    <cellStyle name="Финансовый 40 2" xfId="6704" xr:uid="{00000000-0005-0000-0000-0000301A0000}"/>
    <cellStyle name="Финансовый 40 3" xfId="6705" xr:uid="{00000000-0005-0000-0000-0000311A0000}"/>
    <cellStyle name="Финансовый 41" xfId="6706" xr:uid="{00000000-0005-0000-0000-0000321A0000}"/>
    <cellStyle name="Финансовый 41 2" xfId="6707" xr:uid="{00000000-0005-0000-0000-0000331A0000}"/>
    <cellStyle name="Финансовый 41 3" xfId="6708" xr:uid="{00000000-0005-0000-0000-0000341A0000}"/>
    <cellStyle name="Финансовый 42" xfId="6709" xr:uid="{00000000-0005-0000-0000-0000351A0000}"/>
    <cellStyle name="Финансовый 42 2" xfId="6710" xr:uid="{00000000-0005-0000-0000-0000361A0000}"/>
    <cellStyle name="Финансовый 42 3" xfId="6711" xr:uid="{00000000-0005-0000-0000-0000371A0000}"/>
    <cellStyle name="Финансовый 43" xfId="6712" xr:uid="{00000000-0005-0000-0000-0000381A0000}"/>
    <cellStyle name="Финансовый 43 2" xfId="6713" xr:uid="{00000000-0005-0000-0000-0000391A0000}"/>
    <cellStyle name="Финансовый 43 3" xfId="6714" xr:uid="{00000000-0005-0000-0000-00003A1A0000}"/>
    <cellStyle name="Финансовый 44" xfId="6715" xr:uid="{00000000-0005-0000-0000-00003B1A0000}"/>
    <cellStyle name="Финансовый 44 2" xfId="6716" xr:uid="{00000000-0005-0000-0000-00003C1A0000}"/>
    <cellStyle name="Финансовый 44 3" xfId="6717" xr:uid="{00000000-0005-0000-0000-00003D1A0000}"/>
    <cellStyle name="Финансовый 45" xfId="6718" xr:uid="{00000000-0005-0000-0000-00003E1A0000}"/>
    <cellStyle name="Финансовый 45 2" xfId="6719" xr:uid="{00000000-0005-0000-0000-00003F1A0000}"/>
    <cellStyle name="Финансовый 45 3" xfId="6720" xr:uid="{00000000-0005-0000-0000-0000401A0000}"/>
    <cellStyle name="Финансовый 46" xfId="6721" xr:uid="{00000000-0005-0000-0000-0000411A0000}"/>
    <cellStyle name="Финансовый 46 2" xfId="6722" xr:uid="{00000000-0005-0000-0000-0000421A0000}"/>
    <cellStyle name="Финансовый 46 3" xfId="6723" xr:uid="{00000000-0005-0000-0000-0000431A0000}"/>
    <cellStyle name="Финансовый 47" xfId="6724" xr:uid="{00000000-0005-0000-0000-0000441A0000}"/>
    <cellStyle name="Финансовый 47 2" xfId="6725" xr:uid="{00000000-0005-0000-0000-0000451A0000}"/>
    <cellStyle name="Финансовый 47 3" xfId="6726" xr:uid="{00000000-0005-0000-0000-0000461A0000}"/>
    <cellStyle name="Финансовый 48" xfId="6727" xr:uid="{00000000-0005-0000-0000-0000471A0000}"/>
    <cellStyle name="Финансовый 48 2" xfId="6728" xr:uid="{00000000-0005-0000-0000-0000481A0000}"/>
    <cellStyle name="Финансовый 48 3" xfId="6729" xr:uid="{00000000-0005-0000-0000-0000491A0000}"/>
    <cellStyle name="Финансовый 49" xfId="6730" xr:uid="{00000000-0005-0000-0000-00004A1A0000}"/>
    <cellStyle name="Финансовый 49 2" xfId="6731" xr:uid="{00000000-0005-0000-0000-00004B1A0000}"/>
    <cellStyle name="Финансовый 49 3" xfId="6732" xr:uid="{00000000-0005-0000-0000-00004C1A0000}"/>
    <cellStyle name="Финансовый 5" xfId="6733" xr:uid="{00000000-0005-0000-0000-00004D1A0000}"/>
    <cellStyle name="Финансовый 5 10" xfId="6734" xr:uid="{00000000-0005-0000-0000-00004E1A0000}"/>
    <cellStyle name="Финансовый 5 10 2" xfId="6735" xr:uid="{00000000-0005-0000-0000-00004F1A0000}"/>
    <cellStyle name="Финансовый 5 10 2 2" xfId="6736" xr:uid="{00000000-0005-0000-0000-0000501A0000}"/>
    <cellStyle name="Финансовый 5 10 2 3" xfId="6737" xr:uid="{00000000-0005-0000-0000-0000511A0000}"/>
    <cellStyle name="Финансовый 5 10 3" xfId="6738" xr:uid="{00000000-0005-0000-0000-0000521A0000}"/>
    <cellStyle name="Финансовый 5 10 3 2" xfId="6739" xr:uid="{00000000-0005-0000-0000-0000531A0000}"/>
    <cellStyle name="Финансовый 5 10 4" xfId="6740" xr:uid="{00000000-0005-0000-0000-0000541A0000}"/>
    <cellStyle name="Финансовый 5 10 5" xfId="6741" xr:uid="{00000000-0005-0000-0000-0000551A0000}"/>
    <cellStyle name="Финансовый 5 10 6" xfId="6742" xr:uid="{00000000-0005-0000-0000-0000561A0000}"/>
    <cellStyle name="Финансовый 5 11" xfId="6743" xr:uid="{00000000-0005-0000-0000-0000571A0000}"/>
    <cellStyle name="Финансовый 5 11 2" xfId="6744" xr:uid="{00000000-0005-0000-0000-0000581A0000}"/>
    <cellStyle name="Финансовый 5 11 2 2" xfId="6745" xr:uid="{00000000-0005-0000-0000-0000591A0000}"/>
    <cellStyle name="Финансовый 5 11 2 3" xfId="6746" xr:uid="{00000000-0005-0000-0000-00005A1A0000}"/>
    <cellStyle name="Финансовый 5 11 3" xfId="6747" xr:uid="{00000000-0005-0000-0000-00005B1A0000}"/>
    <cellStyle name="Финансовый 5 11 3 2" xfId="6748" xr:uid="{00000000-0005-0000-0000-00005C1A0000}"/>
    <cellStyle name="Финансовый 5 11 4" xfId="6749" xr:uid="{00000000-0005-0000-0000-00005D1A0000}"/>
    <cellStyle name="Финансовый 5 11 5" xfId="6750" xr:uid="{00000000-0005-0000-0000-00005E1A0000}"/>
    <cellStyle name="Финансовый 5 11 6" xfId="6751" xr:uid="{00000000-0005-0000-0000-00005F1A0000}"/>
    <cellStyle name="Финансовый 5 12" xfId="6752" xr:uid="{00000000-0005-0000-0000-0000601A0000}"/>
    <cellStyle name="Финансовый 5 12 2" xfId="6753" xr:uid="{00000000-0005-0000-0000-0000611A0000}"/>
    <cellStyle name="Финансовый 5 12 2 2" xfId="6754" xr:uid="{00000000-0005-0000-0000-0000621A0000}"/>
    <cellStyle name="Финансовый 5 12 2 3" xfId="6755" xr:uid="{00000000-0005-0000-0000-0000631A0000}"/>
    <cellStyle name="Финансовый 5 12 3" xfId="6756" xr:uid="{00000000-0005-0000-0000-0000641A0000}"/>
    <cellStyle name="Финансовый 5 12 3 2" xfId="6757" xr:uid="{00000000-0005-0000-0000-0000651A0000}"/>
    <cellStyle name="Финансовый 5 12 4" xfId="6758" xr:uid="{00000000-0005-0000-0000-0000661A0000}"/>
    <cellStyle name="Финансовый 5 12 5" xfId="6759" xr:uid="{00000000-0005-0000-0000-0000671A0000}"/>
    <cellStyle name="Финансовый 5 12 6" xfId="6760" xr:uid="{00000000-0005-0000-0000-0000681A0000}"/>
    <cellStyle name="Финансовый 5 13" xfId="6761" xr:uid="{00000000-0005-0000-0000-0000691A0000}"/>
    <cellStyle name="Финансовый 5 13 2" xfId="6762" xr:uid="{00000000-0005-0000-0000-00006A1A0000}"/>
    <cellStyle name="Финансовый 5 13 2 2" xfId="6763" xr:uid="{00000000-0005-0000-0000-00006B1A0000}"/>
    <cellStyle name="Финансовый 5 13 2 3" xfId="6764" xr:uid="{00000000-0005-0000-0000-00006C1A0000}"/>
    <cellStyle name="Финансовый 5 13 3" xfId="6765" xr:uid="{00000000-0005-0000-0000-00006D1A0000}"/>
    <cellStyle name="Финансовый 5 13 3 2" xfId="6766" xr:uid="{00000000-0005-0000-0000-00006E1A0000}"/>
    <cellStyle name="Финансовый 5 13 4" xfId="6767" xr:uid="{00000000-0005-0000-0000-00006F1A0000}"/>
    <cellStyle name="Финансовый 5 13 5" xfId="6768" xr:uid="{00000000-0005-0000-0000-0000701A0000}"/>
    <cellStyle name="Финансовый 5 13 6" xfId="6769" xr:uid="{00000000-0005-0000-0000-0000711A0000}"/>
    <cellStyle name="Финансовый 5 14" xfId="6770" xr:uid="{00000000-0005-0000-0000-0000721A0000}"/>
    <cellStyle name="Финансовый 5 15" xfId="6771" xr:uid="{00000000-0005-0000-0000-0000731A0000}"/>
    <cellStyle name="Финансовый 5 15 2" xfId="6772" xr:uid="{00000000-0005-0000-0000-0000741A0000}"/>
    <cellStyle name="Финансовый 5 15 3" xfId="6773" xr:uid="{00000000-0005-0000-0000-0000751A0000}"/>
    <cellStyle name="Финансовый 5 16" xfId="6774" xr:uid="{00000000-0005-0000-0000-0000761A0000}"/>
    <cellStyle name="Финансовый 5 16 2" xfId="6775" xr:uid="{00000000-0005-0000-0000-0000771A0000}"/>
    <cellStyle name="Финансовый 5 17" xfId="6776" xr:uid="{00000000-0005-0000-0000-0000781A0000}"/>
    <cellStyle name="Финансовый 5 18" xfId="6777" xr:uid="{00000000-0005-0000-0000-0000791A0000}"/>
    <cellStyle name="Финансовый 5 19" xfId="6778" xr:uid="{00000000-0005-0000-0000-00007A1A0000}"/>
    <cellStyle name="Финансовый 5 2" xfId="6779" xr:uid="{00000000-0005-0000-0000-00007B1A0000}"/>
    <cellStyle name="Финансовый 5 2 2" xfId="6780" xr:uid="{00000000-0005-0000-0000-00007C1A0000}"/>
    <cellStyle name="Финансовый 5 2 2 2" xfId="6781" xr:uid="{00000000-0005-0000-0000-00007D1A0000}"/>
    <cellStyle name="Финансовый 5 2 2 2 2" xfId="6782" xr:uid="{00000000-0005-0000-0000-00007E1A0000}"/>
    <cellStyle name="Финансовый 5 2 2 2 3" xfId="6783" xr:uid="{00000000-0005-0000-0000-00007F1A0000}"/>
    <cellStyle name="Финансовый 5 2 2 3" xfId="6784" xr:uid="{00000000-0005-0000-0000-0000801A0000}"/>
    <cellStyle name="Финансовый 5 2 2 3 2" xfId="6785" xr:uid="{00000000-0005-0000-0000-0000811A0000}"/>
    <cellStyle name="Финансовый 5 2 2 4" xfId="6786" xr:uid="{00000000-0005-0000-0000-0000821A0000}"/>
    <cellStyle name="Финансовый 5 2 2 5" xfId="6787" xr:uid="{00000000-0005-0000-0000-0000831A0000}"/>
    <cellStyle name="Финансовый 5 2 2 6" xfId="6788" xr:uid="{00000000-0005-0000-0000-0000841A0000}"/>
    <cellStyle name="Финансовый 5 2 3" xfId="6789" xr:uid="{00000000-0005-0000-0000-0000851A0000}"/>
    <cellStyle name="Финансовый 5 2 3 2" xfId="6790" xr:uid="{00000000-0005-0000-0000-0000861A0000}"/>
    <cellStyle name="Финансовый 5 2 3 3" xfId="6791" xr:uid="{00000000-0005-0000-0000-0000871A0000}"/>
    <cellStyle name="Финансовый 5 2 4" xfId="6792" xr:uid="{00000000-0005-0000-0000-0000881A0000}"/>
    <cellStyle name="Финансовый 5 2 4 2" xfId="6793" xr:uid="{00000000-0005-0000-0000-0000891A0000}"/>
    <cellStyle name="Финансовый 5 2 5" xfId="6794" xr:uid="{00000000-0005-0000-0000-00008A1A0000}"/>
    <cellStyle name="Финансовый 5 2 6" xfId="6795" xr:uid="{00000000-0005-0000-0000-00008B1A0000}"/>
    <cellStyle name="Финансовый 5 2 7" xfId="6796" xr:uid="{00000000-0005-0000-0000-00008C1A0000}"/>
    <cellStyle name="Финансовый 5 2 8" xfId="6797" xr:uid="{00000000-0005-0000-0000-00008D1A0000}"/>
    <cellStyle name="Финансовый 5 20" xfId="6798" xr:uid="{00000000-0005-0000-0000-00008E1A0000}"/>
    <cellStyle name="Финансовый 5 3" xfId="6799" xr:uid="{00000000-0005-0000-0000-00008F1A0000}"/>
    <cellStyle name="Финансовый 5 3 2" xfId="6800" xr:uid="{00000000-0005-0000-0000-0000901A0000}"/>
    <cellStyle name="Финансовый 5 3 2 2" xfId="6801" xr:uid="{00000000-0005-0000-0000-0000911A0000}"/>
    <cellStyle name="Финансовый 5 3 2 2 2" xfId="6802" xr:uid="{00000000-0005-0000-0000-0000921A0000}"/>
    <cellStyle name="Финансовый 5 3 2 2 3" xfId="6803" xr:uid="{00000000-0005-0000-0000-0000931A0000}"/>
    <cellStyle name="Финансовый 5 3 2 3" xfId="6804" xr:uid="{00000000-0005-0000-0000-0000941A0000}"/>
    <cellStyle name="Финансовый 5 3 2 3 2" xfId="6805" xr:uid="{00000000-0005-0000-0000-0000951A0000}"/>
    <cellStyle name="Финансовый 5 3 2 4" xfId="6806" xr:uid="{00000000-0005-0000-0000-0000961A0000}"/>
    <cellStyle name="Финансовый 5 3 2 5" xfId="6807" xr:uid="{00000000-0005-0000-0000-0000971A0000}"/>
    <cellStyle name="Финансовый 5 3 2 6" xfId="6808" xr:uid="{00000000-0005-0000-0000-0000981A0000}"/>
    <cellStyle name="Финансовый 5 3 3" xfId="6809" xr:uid="{00000000-0005-0000-0000-0000991A0000}"/>
    <cellStyle name="Финансовый 5 3 4" xfId="6810" xr:uid="{00000000-0005-0000-0000-00009A1A0000}"/>
    <cellStyle name="Финансовый 5 3 4 2" xfId="6811" xr:uid="{00000000-0005-0000-0000-00009B1A0000}"/>
    <cellStyle name="Финансовый 5 3 4 3" xfId="6812" xr:uid="{00000000-0005-0000-0000-00009C1A0000}"/>
    <cellStyle name="Финансовый 5 3 5" xfId="6813" xr:uid="{00000000-0005-0000-0000-00009D1A0000}"/>
    <cellStyle name="Финансовый 5 3 5 2" xfId="6814" xr:uid="{00000000-0005-0000-0000-00009E1A0000}"/>
    <cellStyle name="Финансовый 5 3 6" xfId="6815" xr:uid="{00000000-0005-0000-0000-00009F1A0000}"/>
    <cellStyle name="Финансовый 5 3 7" xfId="6816" xr:uid="{00000000-0005-0000-0000-0000A01A0000}"/>
    <cellStyle name="Финансовый 5 3 8" xfId="6817" xr:uid="{00000000-0005-0000-0000-0000A11A0000}"/>
    <cellStyle name="Финансовый 5 4" xfId="6818" xr:uid="{00000000-0005-0000-0000-0000A21A0000}"/>
    <cellStyle name="Финансовый 5 4 2" xfId="6819" xr:uid="{00000000-0005-0000-0000-0000A31A0000}"/>
    <cellStyle name="Финансовый 5 4 2 2" xfId="6820" xr:uid="{00000000-0005-0000-0000-0000A41A0000}"/>
    <cellStyle name="Финансовый 5 4 2 2 2" xfId="6821" xr:uid="{00000000-0005-0000-0000-0000A51A0000}"/>
    <cellStyle name="Финансовый 5 4 2 2 3" xfId="6822" xr:uid="{00000000-0005-0000-0000-0000A61A0000}"/>
    <cellStyle name="Финансовый 5 4 2 3" xfId="6823" xr:uid="{00000000-0005-0000-0000-0000A71A0000}"/>
    <cellStyle name="Финансовый 5 4 2 3 2" xfId="6824" xr:uid="{00000000-0005-0000-0000-0000A81A0000}"/>
    <cellStyle name="Финансовый 5 4 2 4" xfId="6825" xr:uid="{00000000-0005-0000-0000-0000A91A0000}"/>
    <cellStyle name="Финансовый 5 4 2 5" xfId="6826" xr:uid="{00000000-0005-0000-0000-0000AA1A0000}"/>
    <cellStyle name="Финансовый 5 4 2 6" xfId="6827" xr:uid="{00000000-0005-0000-0000-0000AB1A0000}"/>
    <cellStyle name="Финансовый 5 4 3" xfId="6828" xr:uid="{00000000-0005-0000-0000-0000AC1A0000}"/>
    <cellStyle name="Финансовый 5 4 4" xfId="6829" xr:uid="{00000000-0005-0000-0000-0000AD1A0000}"/>
    <cellStyle name="Финансовый 5 4 4 2" xfId="6830" xr:uid="{00000000-0005-0000-0000-0000AE1A0000}"/>
    <cellStyle name="Финансовый 5 4 4 3" xfId="6831" xr:uid="{00000000-0005-0000-0000-0000AF1A0000}"/>
    <cellStyle name="Финансовый 5 4 5" xfId="6832" xr:uid="{00000000-0005-0000-0000-0000B01A0000}"/>
    <cellStyle name="Финансовый 5 4 5 2" xfId="6833" xr:uid="{00000000-0005-0000-0000-0000B11A0000}"/>
    <cellStyle name="Финансовый 5 4 6" xfId="6834" xr:uid="{00000000-0005-0000-0000-0000B21A0000}"/>
    <cellStyle name="Финансовый 5 4 7" xfId="6835" xr:uid="{00000000-0005-0000-0000-0000B31A0000}"/>
    <cellStyle name="Финансовый 5 4 8" xfId="6836" xr:uid="{00000000-0005-0000-0000-0000B41A0000}"/>
    <cellStyle name="Финансовый 5 5" xfId="6837" xr:uid="{00000000-0005-0000-0000-0000B51A0000}"/>
    <cellStyle name="Финансовый 5 5 2" xfId="6838" xr:uid="{00000000-0005-0000-0000-0000B61A0000}"/>
    <cellStyle name="Финансовый 5 5 2 2" xfId="6839" xr:uid="{00000000-0005-0000-0000-0000B71A0000}"/>
    <cellStyle name="Финансовый 5 5 2 2 2" xfId="6840" xr:uid="{00000000-0005-0000-0000-0000B81A0000}"/>
    <cellStyle name="Финансовый 5 5 2 2 3" xfId="6841" xr:uid="{00000000-0005-0000-0000-0000B91A0000}"/>
    <cellStyle name="Финансовый 5 5 2 3" xfId="6842" xr:uid="{00000000-0005-0000-0000-0000BA1A0000}"/>
    <cellStyle name="Финансовый 5 5 2 3 2" xfId="6843" xr:uid="{00000000-0005-0000-0000-0000BB1A0000}"/>
    <cellStyle name="Финансовый 5 5 2 4" xfId="6844" xr:uid="{00000000-0005-0000-0000-0000BC1A0000}"/>
    <cellStyle name="Финансовый 5 5 2 5" xfId="6845" xr:uid="{00000000-0005-0000-0000-0000BD1A0000}"/>
    <cellStyle name="Финансовый 5 5 2 6" xfId="6846" xr:uid="{00000000-0005-0000-0000-0000BE1A0000}"/>
    <cellStyle name="Финансовый 5 5 3" xfId="6847" xr:uid="{00000000-0005-0000-0000-0000BF1A0000}"/>
    <cellStyle name="Финансовый 5 5 3 2" xfId="6848" xr:uid="{00000000-0005-0000-0000-0000C01A0000}"/>
    <cellStyle name="Финансовый 5 5 3 3" xfId="6849" xr:uid="{00000000-0005-0000-0000-0000C11A0000}"/>
    <cellStyle name="Финансовый 5 5 4" xfId="6850" xr:uid="{00000000-0005-0000-0000-0000C21A0000}"/>
    <cellStyle name="Финансовый 5 5 4 2" xfId="6851" xr:uid="{00000000-0005-0000-0000-0000C31A0000}"/>
    <cellStyle name="Финансовый 5 5 5" xfId="6852" xr:uid="{00000000-0005-0000-0000-0000C41A0000}"/>
    <cellStyle name="Финансовый 5 5 6" xfId="6853" xr:uid="{00000000-0005-0000-0000-0000C51A0000}"/>
    <cellStyle name="Финансовый 5 5 7" xfId="6854" xr:uid="{00000000-0005-0000-0000-0000C61A0000}"/>
    <cellStyle name="Финансовый 5 6" xfId="6855" xr:uid="{00000000-0005-0000-0000-0000C71A0000}"/>
    <cellStyle name="Финансовый 5 6 2" xfId="6856" xr:uid="{00000000-0005-0000-0000-0000C81A0000}"/>
    <cellStyle name="Финансовый 5 6 2 2" xfId="6857" xr:uid="{00000000-0005-0000-0000-0000C91A0000}"/>
    <cellStyle name="Финансовый 5 6 2 2 2" xfId="6858" xr:uid="{00000000-0005-0000-0000-0000CA1A0000}"/>
    <cellStyle name="Финансовый 5 6 2 2 3" xfId="6859" xr:uid="{00000000-0005-0000-0000-0000CB1A0000}"/>
    <cellStyle name="Финансовый 5 6 2 3" xfId="6860" xr:uid="{00000000-0005-0000-0000-0000CC1A0000}"/>
    <cellStyle name="Финансовый 5 6 2 3 2" xfId="6861" xr:uid="{00000000-0005-0000-0000-0000CD1A0000}"/>
    <cellStyle name="Финансовый 5 6 2 4" xfId="6862" xr:uid="{00000000-0005-0000-0000-0000CE1A0000}"/>
    <cellStyle name="Финансовый 5 6 2 5" xfId="6863" xr:uid="{00000000-0005-0000-0000-0000CF1A0000}"/>
    <cellStyle name="Финансовый 5 6 2 6" xfId="6864" xr:uid="{00000000-0005-0000-0000-0000D01A0000}"/>
    <cellStyle name="Финансовый 5 6 3" xfId="6865" xr:uid="{00000000-0005-0000-0000-0000D11A0000}"/>
    <cellStyle name="Финансовый 5 6 3 2" xfId="6866" xr:uid="{00000000-0005-0000-0000-0000D21A0000}"/>
    <cellStyle name="Финансовый 5 6 3 3" xfId="6867" xr:uid="{00000000-0005-0000-0000-0000D31A0000}"/>
    <cellStyle name="Финансовый 5 6 4" xfId="6868" xr:uid="{00000000-0005-0000-0000-0000D41A0000}"/>
    <cellStyle name="Финансовый 5 6 4 2" xfId="6869" xr:uid="{00000000-0005-0000-0000-0000D51A0000}"/>
    <cellStyle name="Финансовый 5 6 5" xfId="6870" xr:uid="{00000000-0005-0000-0000-0000D61A0000}"/>
    <cellStyle name="Финансовый 5 6 6" xfId="6871" xr:uid="{00000000-0005-0000-0000-0000D71A0000}"/>
    <cellStyle name="Финансовый 5 6 7" xfId="6872" xr:uid="{00000000-0005-0000-0000-0000D81A0000}"/>
    <cellStyle name="Финансовый 5 7" xfId="6873" xr:uid="{00000000-0005-0000-0000-0000D91A0000}"/>
    <cellStyle name="Финансовый 5 7 2" xfId="6874" xr:uid="{00000000-0005-0000-0000-0000DA1A0000}"/>
    <cellStyle name="Финансовый 5 7 2 2" xfId="6875" xr:uid="{00000000-0005-0000-0000-0000DB1A0000}"/>
    <cellStyle name="Финансовый 5 7 2 2 2" xfId="6876" xr:uid="{00000000-0005-0000-0000-0000DC1A0000}"/>
    <cellStyle name="Финансовый 5 7 2 2 3" xfId="6877" xr:uid="{00000000-0005-0000-0000-0000DD1A0000}"/>
    <cellStyle name="Финансовый 5 7 2 3" xfId="6878" xr:uid="{00000000-0005-0000-0000-0000DE1A0000}"/>
    <cellStyle name="Финансовый 5 7 2 3 2" xfId="6879" xr:uid="{00000000-0005-0000-0000-0000DF1A0000}"/>
    <cellStyle name="Финансовый 5 7 2 4" xfId="6880" xr:uid="{00000000-0005-0000-0000-0000E01A0000}"/>
    <cellStyle name="Финансовый 5 7 2 5" xfId="6881" xr:uid="{00000000-0005-0000-0000-0000E11A0000}"/>
    <cellStyle name="Финансовый 5 7 2 6" xfId="6882" xr:uid="{00000000-0005-0000-0000-0000E21A0000}"/>
    <cellStyle name="Финансовый 5 7 3" xfId="6883" xr:uid="{00000000-0005-0000-0000-0000E31A0000}"/>
    <cellStyle name="Финансовый 5 7 3 2" xfId="6884" xr:uid="{00000000-0005-0000-0000-0000E41A0000}"/>
    <cellStyle name="Финансовый 5 7 3 3" xfId="6885" xr:uid="{00000000-0005-0000-0000-0000E51A0000}"/>
    <cellStyle name="Финансовый 5 7 4" xfId="6886" xr:uid="{00000000-0005-0000-0000-0000E61A0000}"/>
    <cellStyle name="Финансовый 5 7 4 2" xfId="6887" xr:uid="{00000000-0005-0000-0000-0000E71A0000}"/>
    <cellStyle name="Финансовый 5 7 5" xfId="6888" xr:uid="{00000000-0005-0000-0000-0000E81A0000}"/>
    <cellStyle name="Финансовый 5 7 6" xfId="6889" xr:uid="{00000000-0005-0000-0000-0000E91A0000}"/>
    <cellStyle name="Финансовый 5 7 7" xfId="6890" xr:uid="{00000000-0005-0000-0000-0000EA1A0000}"/>
    <cellStyle name="Финансовый 5 8" xfId="6891" xr:uid="{00000000-0005-0000-0000-0000EB1A0000}"/>
    <cellStyle name="Финансовый 5 8 2" xfId="6892" xr:uid="{00000000-0005-0000-0000-0000EC1A0000}"/>
    <cellStyle name="Финансовый 5 8 2 2" xfId="6893" xr:uid="{00000000-0005-0000-0000-0000ED1A0000}"/>
    <cellStyle name="Финансовый 5 8 2 3" xfId="6894" xr:uid="{00000000-0005-0000-0000-0000EE1A0000}"/>
    <cellStyle name="Финансовый 5 8 3" xfId="6895" xr:uid="{00000000-0005-0000-0000-0000EF1A0000}"/>
    <cellStyle name="Финансовый 5 8 3 2" xfId="6896" xr:uid="{00000000-0005-0000-0000-0000F01A0000}"/>
    <cellStyle name="Финансовый 5 8 4" xfId="6897" xr:uid="{00000000-0005-0000-0000-0000F11A0000}"/>
    <cellStyle name="Финансовый 5 8 5" xfId="6898" xr:uid="{00000000-0005-0000-0000-0000F21A0000}"/>
    <cellStyle name="Финансовый 5 8 6" xfId="6899" xr:uid="{00000000-0005-0000-0000-0000F31A0000}"/>
    <cellStyle name="Финансовый 5 9" xfId="6900" xr:uid="{00000000-0005-0000-0000-0000F41A0000}"/>
    <cellStyle name="Финансовый 5 9 2" xfId="6901" xr:uid="{00000000-0005-0000-0000-0000F51A0000}"/>
    <cellStyle name="Финансовый 5 9 2 2" xfId="6902" xr:uid="{00000000-0005-0000-0000-0000F61A0000}"/>
    <cellStyle name="Финансовый 5 9 2 3" xfId="6903" xr:uid="{00000000-0005-0000-0000-0000F71A0000}"/>
    <cellStyle name="Финансовый 5 9 3" xfId="6904" xr:uid="{00000000-0005-0000-0000-0000F81A0000}"/>
    <cellStyle name="Финансовый 5 9 3 2" xfId="6905" xr:uid="{00000000-0005-0000-0000-0000F91A0000}"/>
    <cellStyle name="Финансовый 5 9 4" xfId="6906" xr:uid="{00000000-0005-0000-0000-0000FA1A0000}"/>
    <cellStyle name="Финансовый 5 9 5" xfId="6907" xr:uid="{00000000-0005-0000-0000-0000FB1A0000}"/>
    <cellStyle name="Финансовый 5 9 6" xfId="6908" xr:uid="{00000000-0005-0000-0000-0000FC1A0000}"/>
    <cellStyle name="Финансовый 50" xfId="6909" xr:uid="{00000000-0005-0000-0000-0000FD1A0000}"/>
    <cellStyle name="Финансовый 50 2" xfId="6910" xr:uid="{00000000-0005-0000-0000-0000FE1A0000}"/>
    <cellStyle name="Финансовый 50 3" xfId="6911" xr:uid="{00000000-0005-0000-0000-0000FF1A0000}"/>
    <cellStyle name="Финансовый 51" xfId="6912" xr:uid="{00000000-0005-0000-0000-0000001B0000}"/>
    <cellStyle name="Финансовый 51 2" xfId="6913" xr:uid="{00000000-0005-0000-0000-0000011B0000}"/>
    <cellStyle name="Финансовый 51 3" xfId="6914" xr:uid="{00000000-0005-0000-0000-0000021B0000}"/>
    <cellStyle name="Финансовый 52" xfId="6915" xr:uid="{00000000-0005-0000-0000-0000031B0000}"/>
    <cellStyle name="Финансовый 52 2" xfId="6916" xr:uid="{00000000-0005-0000-0000-0000041B0000}"/>
    <cellStyle name="Финансовый 52 3" xfId="6917" xr:uid="{00000000-0005-0000-0000-0000051B0000}"/>
    <cellStyle name="Финансовый 53" xfId="6918" xr:uid="{00000000-0005-0000-0000-0000061B0000}"/>
    <cellStyle name="Финансовый 53 2" xfId="6919" xr:uid="{00000000-0005-0000-0000-0000071B0000}"/>
    <cellStyle name="Финансовый 53 3" xfId="6920" xr:uid="{00000000-0005-0000-0000-0000081B0000}"/>
    <cellStyle name="Финансовый 54" xfId="6921" xr:uid="{00000000-0005-0000-0000-0000091B0000}"/>
    <cellStyle name="Финансовый 54 2" xfId="6922" xr:uid="{00000000-0005-0000-0000-00000A1B0000}"/>
    <cellStyle name="Финансовый 54 3" xfId="6923" xr:uid="{00000000-0005-0000-0000-00000B1B0000}"/>
    <cellStyle name="Финансовый 55" xfId="6924" xr:uid="{00000000-0005-0000-0000-00000C1B0000}"/>
    <cellStyle name="Финансовый 55 2" xfId="6925" xr:uid="{00000000-0005-0000-0000-00000D1B0000}"/>
    <cellStyle name="Финансовый 55 3" xfId="6926" xr:uid="{00000000-0005-0000-0000-00000E1B0000}"/>
    <cellStyle name="Финансовый 56" xfId="6927" xr:uid="{00000000-0005-0000-0000-00000F1B0000}"/>
    <cellStyle name="Финансовый 56 2" xfId="6928" xr:uid="{00000000-0005-0000-0000-0000101B0000}"/>
    <cellStyle name="Финансовый 56 3" xfId="6929" xr:uid="{00000000-0005-0000-0000-0000111B0000}"/>
    <cellStyle name="Финансовый 57" xfId="6930" xr:uid="{00000000-0005-0000-0000-0000121B0000}"/>
    <cellStyle name="Финансовый 57 2" xfId="6931" xr:uid="{00000000-0005-0000-0000-0000131B0000}"/>
    <cellStyle name="Финансовый 57 3" xfId="6932" xr:uid="{00000000-0005-0000-0000-0000141B0000}"/>
    <cellStyle name="Финансовый 58" xfId="6933" xr:uid="{00000000-0005-0000-0000-0000151B0000}"/>
    <cellStyle name="Финансовый 58 2" xfId="6934" xr:uid="{00000000-0005-0000-0000-0000161B0000}"/>
    <cellStyle name="Финансовый 58 3" xfId="6935" xr:uid="{00000000-0005-0000-0000-0000171B0000}"/>
    <cellStyle name="Финансовый 59" xfId="6936" xr:uid="{00000000-0005-0000-0000-0000181B0000}"/>
    <cellStyle name="Финансовый 59 2" xfId="6937" xr:uid="{00000000-0005-0000-0000-0000191B0000}"/>
    <cellStyle name="Финансовый 59 3" xfId="6938" xr:uid="{00000000-0005-0000-0000-00001A1B0000}"/>
    <cellStyle name="Финансовый 6" xfId="6939" xr:uid="{00000000-0005-0000-0000-00001B1B0000}"/>
    <cellStyle name="Финансовый 6 2" xfId="6940" xr:uid="{00000000-0005-0000-0000-00001C1B0000}"/>
    <cellStyle name="Финансовый 6 2 2" xfId="6941" xr:uid="{00000000-0005-0000-0000-00001D1B0000}"/>
    <cellStyle name="Финансовый 6 2 2 2" xfId="6942" xr:uid="{00000000-0005-0000-0000-00001E1B0000}"/>
    <cellStyle name="Финансовый 6 2 2 3" xfId="6943" xr:uid="{00000000-0005-0000-0000-00001F1B0000}"/>
    <cellStyle name="Финансовый 6 2 2 4" xfId="6944" xr:uid="{00000000-0005-0000-0000-0000201B0000}"/>
    <cellStyle name="Финансовый 6 2 2 5" xfId="6945" xr:uid="{00000000-0005-0000-0000-0000211B0000}"/>
    <cellStyle name="Финансовый 6 2 3" xfId="6946" xr:uid="{00000000-0005-0000-0000-0000221B0000}"/>
    <cellStyle name="Финансовый 6 2 4" xfId="6947" xr:uid="{00000000-0005-0000-0000-0000231B0000}"/>
    <cellStyle name="Финансовый 6 2 5" xfId="6948" xr:uid="{00000000-0005-0000-0000-0000241B0000}"/>
    <cellStyle name="Финансовый 6 2 6" xfId="6949" xr:uid="{00000000-0005-0000-0000-0000251B0000}"/>
    <cellStyle name="Финансовый 6 3" xfId="6950" xr:uid="{00000000-0005-0000-0000-0000261B0000}"/>
    <cellStyle name="Финансовый 6 3 2" xfId="6951" xr:uid="{00000000-0005-0000-0000-0000271B0000}"/>
    <cellStyle name="Финансовый 6 3 3" xfId="6952" xr:uid="{00000000-0005-0000-0000-0000281B0000}"/>
    <cellStyle name="Финансовый 6 3 4" xfId="6953" xr:uid="{00000000-0005-0000-0000-0000291B0000}"/>
    <cellStyle name="Финансовый 6 3 5" xfId="6954" xr:uid="{00000000-0005-0000-0000-00002A1B0000}"/>
    <cellStyle name="Финансовый 6 4" xfId="6955" xr:uid="{00000000-0005-0000-0000-00002B1B0000}"/>
    <cellStyle name="Финансовый 6 5" xfId="6956" xr:uid="{00000000-0005-0000-0000-00002C1B0000}"/>
    <cellStyle name="Финансовый 6 6" xfId="6957" xr:uid="{00000000-0005-0000-0000-00002D1B0000}"/>
    <cellStyle name="Финансовый 6 7" xfId="6958" xr:uid="{00000000-0005-0000-0000-00002E1B0000}"/>
    <cellStyle name="Финансовый 60" xfId="6959" xr:uid="{00000000-0005-0000-0000-00002F1B0000}"/>
    <cellStyle name="Финансовый 60 2" xfId="6960" xr:uid="{00000000-0005-0000-0000-0000301B0000}"/>
    <cellStyle name="Финансовый 60 3" xfId="6961" xr:uid="{00000000-0005-0000-0000-0000311B0000}"/>
    <cellStyle name="Финансовый 61" xfId="6962" xr:uid="{00000000-0005-0000-0000-0000321B0000}"/>
    <cellStyle name="Финансовый 61 2" xfId="6963" xr:uid="{00000000-0005-0000-0000-0000331B0000}"/>
    <cellStyle name="Финансовый 61 3" xfId="6964" xr:uid="{00000000-0005-0000-0000-0000341B0000}"/>
    <cellStyle name="Финансовый 62" xfId="6965" xr:uid="{00000000-0005-0000-0000-0000351B0000}"/>
    <cellStyle name="Финансовый 62 2" xfId="6966" xr:uid="{00000000-0005-0000-0000-0000361B0000}"/>
    <cellStyle name="Финансовый 62 3" xfId="6967" xr:uid="{00000000-0005-0000-0000-0000371B0000}"/>
    <cellStyle name="Финансовый 63" xfId="6968" xr:uid="{00000000-0005-0000-0000-0000381B0000}"/>
    <cellStyle name="Финансовый 63 2" xfId="6969" xr:uid="{00000000-0005-0000-0000-0000391B0000}"/>
    <cellStyle name="Финансовый 63 3" xfId="6970" xr:uid="{00000000-0005-0000-0000-00003A1B0000}"/>
    <cellStyle name="Финансовый 64" xfId="6971" xr:uid="{00000000-0005-0000-0000-00003B1B0000}"/>
    <cellStyle name="Финансовый 64 2" xfId="6972" xr:uid="{00000000-0005-0000-0000-00003C1B0000}"/>
    <cellStyle name="Финансовый 64 3" xfId="6973" xr:uid="{00000000-0005-0000-0000-00003D1B0000}"/>
    <cellStyle name="Финансовый 65" xfId="6974" xr:uid="{00000000-0005-0000-0000-00003E1B0000}"/>
    <cellStyle name="Финансовый 65 2" xfId="6975" xr:uid="{00000000-0005-0000-0000-00003F1B0000}"/>
    <cellStyle name="Финансовый 65 3" xfId="6976" xr:uid="{00000000-0005-0000-0000-0000401B0000}"/>
    <cellStyle name="Финансовый 66" xfId="6977" xr:uid="{00000000-0005-0000-0000-0000411B0000}"/>
    <cellStyle name="Финансовый 66 2" xfId="6978" xr:uid="{00000000-0005-0000-0000-0000421B0000}"/>
    <cellStyle name="Финансовый 66 3" xfId="6979" xr:uid="{00000000-0005-0000-0000-0000431B0000}"/>
    <cellStyle name="Финансовый 67" xfId="6980" xr:uid="{00000000-0005-0000-0000-0000441B0000}"/>
    <cellStyle name="Финансовый 67 2" xfId="6981" xr:uid="{00000000-0005-0000-0000-0000451B0000}"/>
    <cellStyle name="Финансовый 67 3" xfId="6982" xr:uid="{00000000-0005-0000-0000-0000461B0000}"/>
    <cellStyle name="Финансовый 68" xfId="6983" xr:uid="{00000000-0005-0000-0000-0000471B0000}"/>
    <cellStyle name="Финансовый 68 2" xfId="6984" xr:uid="{00000000-0005-0000-0000-0000481B0000}"/>
    <cellStyle name="Финансовый 68 3" xfId="6985" xr:uid="{00000000-0005-0000-0000-0000491B0000}"/>
    <cellStyle name="Финансовый 69" xfId="6986" xr:uid="{00000000-0005-0000-0000-00004A1B0000}"/>
    <cellStyle name="Финансовый 69 2" xfId="6987" xr:uid="{00000000-0005-0000-0000-00004B1B0000}"/>
    <cellStyle name="Финансовый 69 3" xfId="6988" xr:uid="{00000000-0005-0000-0000-00004C1B0000}"/>
    <cellStyle name="Финансовый 7" xfId="6989" xr:uid="{00000000-0005-0000-0000-00004D1B0000}"/>
    <cellStyle name="Финансовый 7 2" xfId="6990" xr:uid="{00000000-0005-0000-0000-00004E1B0000}"/>
    <cellStyle name="Финансовый 7 2 2" xfId="6991" xr:uid="{00000000-0005-0000-0000-00004F1B0000}"/>
    <cellStyle name="Финансовый 7 2 2 2" xfId="6992" xr:uid="{00000000-0005-0000-0000-0000501B0000}"/>
    <cellStyle name="Финансовый 7 2 2 3" xfId="6993" xr:uid="{00000000-0005-0000-0000-0000511B0000}"/>
    <cellStyle name="Финансовый 7 2 3" xfId="6994" xr:uid="{00000000-0005-0000-0000-0000521B0000}"/>
    <cellStyle name="Финансовый 7 2 3 2" xfId="6995" xr:uid="{00000000-0005-0000-0000-0000531B0000}"/>
    <cellStyle name="Финансовый 7 2 4" xfId="6996" xr:uid="{00000000-0005-0000-0000-0000541B0000}"/>
    <cellStyle name="Финансовый 7 2 5" xfId="6997" xr:uid="{00000000-0005-0000-0000-0000551B0000}"/>
    <cellStyle name="Финансовый 7 2 6" xfId="6998" xr:uid="{00000000-0005-0000-0000-0000561B0000}"/>
    <cellStyle name="Финансовый 7 2 7" xfId="6999" xr:uid="{00000000-0005-0000-0000-0000571B0000}"/>
    <cellStyle name="Финансовый 7 3" xfId="7000" xr:uid="{00000000-0005-0000-0000-0000581B0000}"/>
    <cellStyle name="Финансовый 7 3 2" xfId="7001" xr:uid="{00000000-0005-0000-0000-0000591B0000}"/>
    <cellStyle name="Финансовый 7 3 3" xfId="7002" xr:uid="{00000000-0005-0000-0000-00005A1B0000}"/>
    <cellStyle name="Финансовый 7 3 4" xfId="7003" xr:uid="{00000000-0005-0000-0000-00005B1B0000}"/>
    <cellStyle name="Финансовый 7 4" xfId="7004" xr:uid="{00000000-0005-0000-0000-00005C1B0000}"/>
    <cellStyle name="Финансовый 7 4 2" xfId="7005" xr:uid="{00000000-0005-0000-0000-00005D1B0000}"/>
    <cellStyle name="Финансовый 7 5" xfId="7006" xr:uid="{00000000-0005-0000-0000-00005E1B0000}"/>
    <cellStyle name="Финансовый 7 6" xfId="7007" xr:uid="{00000000-0005-0000-0000-00005F1B0000}"/>
    <cellStyle name="Финансовый 7 7" xfId="7008" xr:uid="{00000000-0005-0000-0000-0000601B0000}"/>
    <cellStyle name="Финансовый 7 8" xfId="7009" xr:uid="{00000000-0005-0000-0000-0000611B0000}"/>
    <cellStyle name="Финансовый 70" xfId="7010" xr:uid="{00000000-0005-0000-0000-0000621B0000}"/>
    <cellStyle name="Финансовый 70 2" xfId="7011" xr:uid="{00000000-0005-0000-0000-0000631B0000}"/>
    <cellStyle name="Финансовый 70 3" xfId="7012" xr:uid="{00000000-0005-0000-0000-0000641B0000}"/>
    <cellStyle name="Финансовый 71" xfId="7013" xr:uid="{00000000-0005-0000-0000-0000651B0000}"/>
    <cellStyle name="Финансовый 71 2" xfId="7014" xr:uid="{00000000-0005-0000-0000-0000661B0000}"/>
    <cellStyle name="Финансовый 71 3" xfId="7015" xr:uid="{00000000-0005-0000-0000-0000671B0000}"/>
    <cellStyle name="Финансовый 72" xfId="7016" xr:uid="{00000000-0005-0000-0000-0000681B0000}"/>
    <cellStyle name="Финансовый 72 2" xfId="7017" xr:uid="{00000000-0005-0000-0000-0000691B0000}"/>
    <cellStyle name="Финансовый 72 3" xfId="7018" xr:uid="{00000000-0005-0000-0000-00006A1B0000}"/>
    <cellStyle name="Финансовый 73" xfId="7019" xr:uid="{00000000-0005-0000-0000-00006B1B0000}"/>
    <cellStyle name="Финансовый 73 2" xfId="7020" xr:uid="{00000000-0005-0000-0000-00006C1B0000}"/>
    <cellStyle name="Финансовый 73 3" xfId="7021" xr:uid="{00000000-0005-0000-0000-00006D1B0000}"/>
    <cellStyle name="Финансовый 74" xfId="7022" xr:uid="{00000000-0005-0000-0000-00006E1B0000}"/>
    <cellStyle name="Финансовый 74 2" xfId="7023" xr:uid="{00000000-0005-0000-0000-00006F1B0000}"/>
    <cellStyle name="Финансовый 74 3" xfId="7024" xr:uid="{00000000-0005-0000-0000-0000701B0000}"/>
    <cellStyle name="Финансовый 75" xfId="7025" xr:uid="{00000000-0005-0000-0000-0000711B0000}"/>
    <cellStyle name="Финансовый 75 2" xfId="7026" xr:uid="{00000000-0005-0000-0000-0000721B0000}"/>
    <cellStyle name="Финансовый 75 3" xfId="7027" xr:uid="{00000000-0005-0000-0000-0000731B0000}"/>
    <cellStyle name="Финансовый 76" xfId="7028" xr:uid="{00000000-0005-0000-0000-0000741B0000}"/>
    <cellStyle name="Финансовый 76 2" xfId="7029" xr:uid="{00000000-0005-0000-0000-0000751B0000}"/>
    <cellStyle name="Финансовый 76 3" xfId="7030" xr:uid="{00000000-0005-0000-0000-0000761B0000}"/>
    <cellStyle name="Финансовый 77" xfId="7031" xr:uid="{00000000-0005-0000-0000-0000771B0000}"/>
    <cellStyle name="Финансовый 77 2" xfId="7032" xr:uid="{00000000-0005-0000-0000-0000781B0000}"/>
    <cellStyle name="Финансовый 77 3" xfId="7033" xr:uid="{00000000-0005-0000-0000-0000791B0000}"/>
    <cellStyle name="Финансовый 78" xfId="7034" xr:uid="{00000000-0005-0000-0000-00007A1B0000}"/>
    <cellStyle name="Финансовый 78 2" xfId="7035" xr:uid="{00000000-0005-0000-0000-00007B1B0000}"/>
    <cellStyle name="Финансовый 78 3" xfId="7036" xr:uid="{00000000-0005-0000-0000-00007C1B0000}"/>
    <cellStyle name="Финансовый 79" xfId="7037" xr:uid="{00000000-0005-0000-0000-00007D1B0000}"/>
    <cellStyle name="Финансовый 79 2" xfId="7038" xr:uid="{00000000-0005-0000-0000-00007E1B0000}"/>
    <cellStyle name="Финансовый 79 3" xfId="7039" xr:uid="{00000000-0005-0000-0000-00007F1B0000}"/>
    <cellStyle name="Финансовый 8" xfId="7040" xr:uid="{00000000-0005-0000-0000-0000801B0000}"/>
    <cellStyle name="Финансовый 8 2" xfId="7041" xr:uid="{00000000-0005-0000-0000-0000811B0000}"/>
    <cellStyle name="Финансовый 8 2 2" xfId="7042" xr:uid="{00000000-0005-0000-0000-0000821B0000}"/>
    <cellStyle name="Финансовый 8 2 2 2" xfId="7043" xr:uid="{00000000-0005-0000-0000-0000831B0000}"/>
    <cellStyle name="Финансовый 8 2 2 3" xfId="7044" xr:uid="{00000000-0005-0000-0000-0000841B0000}"/>
    <cellStyle name="Финансовый 8 2 3" xfId="7045" xr:uid="{00000000-0005-0000-0000-0000851B0000}"/>
    <cellStyle name="Финансовый 8 2 3 2" xfId="7046" xr:uid="{00000000-0005-0000-0000-0000861B0000}"/>
    <cellStyle name="Финансовый 8 2 4" xfId="7047" xr:uid="{00000000-0005-0000-0000-0000871B0000}"/>
    <cellStyle name="Финансовый 8 2 5" xfId="7048" xr:uid="{00000000-0005-0000-0000-0000881B0000}"/>
    <cellStyle name="Финансовый 8 2 6" xfId="7049" xr:uid="{00000000-0005-0000-0000-0000891B0000}"/>
    <cellStyle name="Финансовый 8 3" xfId="7050" xr:uid="{00000000-0005-0000-0000-00008A1B0000}"/>
    <cellStyle name="Финансовый 8 3 2" xfId="7051" xr:uid="{00000000-0005-0000-0000-00008B1B0000}"/>
    <cellStyle name="Финансовый 8 3 3" xfId="7052" xr:uid="{00000000-0005-0000-0000-00008C1B0000}"/>
    <cellStyle name="Финансовый 8 4" xfId="7053" xr:uid="{00000000-0005-0000-0000-00008D1B0000}"/>
    <cellStyle name="Финансовый 8 4 2" xfId="7054" xr:uid="{00000000-0005-0000-0000-00008E1B0000}"/>
    <cellStyle name="Финансовый 8 5" xfId="7055" xr:uid="{00000000-0005-0000-0000-00008F1B0000}"/>
    <cellStyle name="Финансовый 8 6" xfId="7056" xr:uid="{00000000-0005-0000-0000-0000901B0000}"/>
    <cellStyle name="Финансовый 8 7" xfId="7057" xr:uid="{00000000-0005-0000-0000-0000911B0000}"/>
    <cellStyle name="Финансовый 8 8" xfId="7058" xr:uid="{00000000-0005-0000-0000-0000921B0000}"/>
    <cellStyle name="Финансовый 80" xfId="7059" xr:uid="{00000000-0005-0000-0000-0000931B0000}"/>
    <cellStyle name="Финансовый 80 2" xfId="7060" xr:uid="{00000000-0005-0000-0000-0000941B0000}"/>
    <cellStyle name="Финансовый 80 3" xfId="7061" xr:uid="{00000000-0005-0000-0000-0000951B0000}"/>
    <cellStyle name="Финансовый 81" xfId="7062" xr:uid="{00000000-0005-0000-0000-0000961B0000}"/>
    <cellStyle name="Финансовый 81 2" xfId="7063" xr:uid="{00000000-0005-0000-0000-0000971B0000}"/>
    <cellStyle name="Финансовый 81 3" xfId="7064" xr:uid="{00000000-0005-0000-0000-0000981B0000}"/>
    <cellStyle name="Финансовый 82" xfId="7065" xr:uid="{00000000-0005-0000-0000-0000991B0000}"/>
    <cellStyle name="Финансовый 82 2" xfId="7066" xr:uid="{00000000-0005-0000-0000-00009A1B0000}"/>
    <cellStyle name="Финансовый 82 3" xfId="7067" xr:uid="{00000000-0005-0000-0000-00009B1B0000}"/>
    <cellStyle name="Финансовый 83" xfId="7068" xr:uid="{00000000-0005-0000-0000-00009C1B0000}"/>
    <cellStyle name="Финансовый 83 2" xfId="7069" xr:uid="{00000000-0005-0000-0000-00009D1B0000}"/>
    <cellStyle name="Финансовый 83 3" xfId="7070" xr:uid="{00000000-0005-0000-0000-00009E1B0000}"/>
    <cellStyle name="Финансовый 84" xfId="7071" xr:uid="{00000000-0005-0000-0000-00009F1B0000}"/>
    <cellStyle name="Финансовый 84 2" xfId="7072" xr:uid="{00000000-0005-0000-0000-0000A01B0000}"/>
    <cellStyle name="Финансовый 84 3" xfId="7073" xr:uid="{00000000-0005-0000-0000-0000A11B0000}"/>
    <cellStyle name="Финансовый 85" xfId="7074" xr:uid="{00000000-0005-0000-0000-0000A21B0000}"/>
    <cellStyle name="Финансовый 85 2" xfId="7075" xr:uid="{00000000-0005-0000-0000-0000A31B0000}"/>
    <cellStyle name="Финансовый 85 3" xfId="7076" xr:uid="{00000000-0005-0000-0000-0000A41B0000}"/>
    <cellStyle name="Финансовый 86" xfId="7077" xr:uid="{00000000-0005-0000-0000-0000A51B0000}"/>
    <cellStyle name="Финансовый 86 2" xfId="7078" xr:uid="{00000000-0005-0000-0000-0000A61B0000}"/>
    <cellStyle name="Финансовый 86 3" xfId="7079" xr:uid="{00000000-0005-0000-0000-0000A71B0000}"/>
    <cellStyle name="Финансовый 87" xfId="7080" xr:uid="{00000000-0005-0000-0000-0000A81B0000}"/>
    <cellStyle name="Финансовый 87 2" xfId="7081" xr:uid="{00000000-0005-0000-0000-0000A91B0000}"/>
    <cellStyle name="Финансовый 87 3" xfId="7082" xr:uid="{00000000-0005-0000-0000-0000AA1B0000}"/>
    <cellStyle name="Финансовый 88" xfId="7083" xr:uid="{00000000-0005-0000-0000-0000AB1B0000}"/>
    <cellStyle name="Финансовый 88 2" xfId="7084" xr:uid="{00000000-0005-0000-0000-0000AC1B0000}"/>
    <cellStyle name="Финансовый 88 3" xfId="7085" xr:uid="{00000000-0005-0000-0000-0000AD1B0000}"/>
    <cellStyle name="Финансовый 89" xfId="7086" xr:uid="{00000000-0005-0000-0000-0000AE1B0000}"/>
    <cellStyle name="Финансовый 89 2" xfId="7087" xr:uid="{00000000-0005-0000-0000-0000AF1B0000}"/>
    <cellStyle name="Финансовый 89 3" xfId="7088" xr:uid="{00000000-0005-0000-0000-0000B01B0000}"/>
    <cellStyle name="Финансовый 9" xfId="7089" xr:uid="{00000000-0005-0000-0000-0000B11B0000}"/>
    <cellStyle name="Финансовый 9 2" xfId="7090" xr:uid="{00000000-0005-0000-0000-0000B21B0000}"/>
    <cellStyle name="Финансовый 9 2 2" xfId="7091" xr:uid="{00000000-0005-0000-0000-0000B31B0000}"/>
    <cellStyle name="Финансовый 9 2 2 2" xfId="7092" xr:uid="{00000000-0005-0000-0000-0000B41B0000}"/>
    <cellStyle name="Финансовый 9 2 2 3" xfId="7093" xr:uid="{00000000-0005-0000-0000-0000B51B0000}"/>
    <cellStyle name="Финансовый 9 2 3" xfId="7094" xr:uid="{00000000-0005-0000-0000-0000B61B0000}"/>
    <cellStyle name="Финансовый 9 2 3 2" xfId="7095" xr:uid="{00000000-0005-0000-0000-0000B71B0000}"/>
    <cellStyle name="Финансовый 9 2 4" xfId="7096" xr:uid="{00000000-0005-0000-0000-0000B81B0000}"/>
    <cellStyle name="Финансовый 9 2 5" xfId="7097" xr:uid="{00000000-0005-0000-0000-0000B91B0000}"/>
    <cellStyle name="Финансовый 9 2 6" xfId="7098" xr:uid="{00000000-0005-0000-0000-0000BA1B0000}"/>
    <cellStyle name="Финансовый 9 3" xfId="7099" xr:uid="{00000000-0005-0000-0000-0000BB1B0000}"/>
    <cellStyle name="Финансовый 9 3 2" xfId="7100" xr:uid="{00000000-0005-0000-0000-0000BC1B0000}"/>
    <cellStyle name="Финансовый 9 3 3" xfId="7101" xr:uid="{00000000-0005-0000-0000-0000BD1B0000}"/>
    <cellStyle name="Финансовый 9 4" xfId="7102" xr:uid="{00000000-0005-0000-0000-0000BE1B0000}"/>
    <cellStyle name="Финансовый 9 4 2" xfId="7103" xr:uid="{00000000-0005-0000-0000-0000BF1B0000}"/>
    <cellStyle name="Финансовый 9 5" xfId="7104" xr:uid="{00000000-0005-0000-0000-0000C01B0000}"/>
    <cellStyle name="Финансовый 9 6" xfId="7105" xr:uid="{00000000-0005-0000-0000-0000C11B0000}"/>
    <cellStyle name="Финансовый 9 7" xfId="7106" xr:uid="{00000000-0005-0000-0000-0000C21B0000}"/>
    <cellStyle name="Финансовый 9 8" xfId="7107" xr:uid="{00000000-0005-0000-0000-0000C31B0000}"/>
    <cellStyle name="Финансовый 90" xfId="7108" xr:uid="{00000000-0005-0000-0000-0000C41B0000}"/>
    <cellStyle name="Финансовый 90 2" xfId="7109" xr:uid="{00000000-0005-0000-0000-0000C51B0000}"/>
    <cellStyle name="Финансовый 90 3" xfId="7110" xr:uid="{00000000-0005-0000-0000-0000C61B0000}"/>
    <cellStyle name="Финансовый 91" xfId="7111" xr:uid="{00000000-0005-0000-0000-0000C71B0000}"/>
    <cellStyle name="Финансовый 91 2" xfId="7112" xr:uid="{00000000-0005-0000-0000-0000C81B0000}"/>
    <cellStyle name="Финансовый 91 3" xfId="7113" xr:uid="{00000000-0005-0000-0000-0000C91B0000}"/>
    <cellStyle name="Финансовый 92" xfId="7114" xr:uid="{00000000-0005-0000-0000-0000CA1B0000}"/>
    <cellStyle name="Финансовый 92 2" xfId="7115" xr:uid="{00000000-0005-0000-0000-0000CB1B0000}"/>
    <cellStyle name="Финансовый 92 3" xfId="7116" xr:uid="{00000000-0005-0000-0000-0000CC1B0000}"/>
    <cellStyle name="Финансовый 93" xfId="7117" xr:uid="{00000000-0005-0000-0000-0000CD1B0000}"/>
    <cellStyle name="Финансовый 93 2" xfId="7118" xr:uid="{00000000-0005-0000-0000-0000CE1B0000}"/>
    <cellStyle name="Финансовый 93 3" xfId="7119" xr:uid="{00000000-0005-0000-0000-0000CF1B0000}"/>
    <cellStyle name="Финансовый 94" xfId="7120" xr:uid="{00000000-0005-0000-0000-0000D01B0000}"/>
    <cellStyle name="Финансовый 94 2" xfId="7121" xr:uid="{00000000-0005-0000-0000-0000D11B0000}"/>
    <cellStyle name="Финансовый 94 3" xfId="7122" xr:uid="{00000000-0005-0000-0000-0000D21B0000}"/>
    <cellStyle name="Финансовый 95" xfId="7123" xr:uid="{00000000-0005-0000-0000-0000D31B0000}"/>
    <cellStyle name="Финансовый 95 2" xfId="7124" xr:uid="{00000000-0005-0000-0000-0000D41B0000}"/>
    <cellStyle name="Финансовый 95 3" xfId="7125" xr:uid="{00000000-0005-0000-0000-0000D51B0000}"/>
    <cellStyle name="Финансовый 96" xfId="7126" xr:uid="{00000000-0005-0000-0000-0000D61B0000}"/>
    <cellStyle name="Финансовый 96 2" xfId="7127" xr:uid="{00000000-0005-0000-0000-0000D71B0000}"/>
    <cellStyle name="Финансовый 96 3" xfId="7128" xr:uid="{00000000-0005-0000-0000-0000D81B0000}"/>
    <cellStyle name="Финансовый 97" xfId="7129" xr:uid="{00000000-0005-0000-0000-0000D91B0000}"/>
    <cellStyle name="Финансовый 97 2" xfId="7130" xr:uid="{00000000-0005-0000-0000-0000DA1B0000}"/>
    <cellStyle name="Финансовый 97 3" xfId="7131" xr:uid="{00000000-0005-0000-0000-0000DB1B0000}"/>
    <cellStyle name="Финансовый 98" xfId="7132" xr:uid="{00000000-0005-0000-0000-0000DC1B0000}"/>
    <cellStyle name="Финансовый 98 2" xfId="7133" xr:uid="{00000000-0005-0000-0000-0000DD1B0000}"/>
    <cellStyle name="Финансовый 98 3" xfId="7134" xr:uid="{00000000-0005-0000-0000-0000DE1B0000}"/>
    <cellStyle name="Финансовый 99" xfId="7135" xr:uid="{00000000-0005-0000-0000-0000DF1B0000}"/>
    <cellStyle name="Финансовый 99 2" xfId="7136" xr:uid="{00000000-0005-0000-0000-0000E01B0000}"/>
    <cellStyle name="Финансовый 99 3" xfId="7137" xr:uid="{00000000-0005-0000-0000-0000E11B0000}"/>
    <cellStyle name="Формула" xfId="7138" xr:uid="{00000000-0005-0000-0000-0000E21B0000}"/>
    <cellStyle name="Формула 2" xfId="7139" xr:uid="{00000000-0005-0000-0000-0000E31B0000}"/>
    <cellStyle name="Формула 2 2" xfId="7140" xr:uid="{00000000-0005-0000-0000-0000E41B0000}"/>
    <cellStyle name="Формула 3" xfId="7141" xr:uid="{00000000-0005-0000-0000-0000E51B0000}"/>
    <cellStyle name="Формула 3 2" xfId="7142" xr:uid="{00000000-0005-0000-0000-0000E61B0000}"/>
    <cellStyle name="Формула 4" xfId="7143" xr:uid="{00000000-0005-0000-0000-0000E71B0000}"/>
    <cellStyle name="Формула 5" xfId="7144" xr:uid="{00000000-0005-0000-0000-0000E81B0000}"/>
    <cellStyle name="Формула_5" xfId="7145" xr:uid="{00000000-0005-0000-0000-0000E91B0000}"/>
    <cellStyle name="ФормулаВБ" xfId="7146" xr:uid="{00000000-0005-0000-0000-0000EA1B0000}"/>
    <cellStyle name="ФормулаВБ 2" xfId="7147" xr:uid="{00000000-0005-0000-0000-0000EB1B0000}"/>
    <cellStyle name="ФормулаВБ 2 2" xfId="7148" xr:uid="{00000000-0005-0000-0000-0000EC1B0000}"/>
    <cellStyle name="ФормулаВБ 3" xfId="7149" xr:uid="{00000000-0005-0000-0000-0000ED1B0000}"/>
    <cellStyle name="ФормулаВБ 4" xfId="7150" xr:uid="{00000000-0005-0000-0000-0000EE1B0000}"/>
    <cellStyle name="ФормулаНаКонтроль" xfId="7151" xr:uid="{00000000-0005-0000-0000-0000EF1B0000}"/>
    <cellStyle name="ФормулаНаКонтроль 2" xfId="7152" xr:uid="{00000000-0005-0000-0000-0000F01B0000}"/>
    <cellStyle name="ФормулаНаКонтроль 2 2" xfId="7153" xr:uid="{00000000-0005-0000-0000-0000F11B0000}"/>
    <cellStyle name="ФормулаНаКонтроль 3" xfId="7154" xr:uid="{00000000-0005-0000-0000-0000F21B0000}"/>
    <cellStyle name="ФормулаНаКонтроль 4" xfId="7155" xr:uid="{00000000-0005-0000-0000-0000F31B0000}"/>
    <cellStyle name="ФормулаНаКонтроль_GRES.2007.5" xfId="7156" xr:uid="{00000000-0005-0000-0000-0000F41B0000}"/>
    <cellStyle name="Хвост" xfId="7157" xr:uid="{00000000-0005-0000-0000-0000F51B0000}"/>
    <cellStyle name="Хороший 10" xfId="7158" xr:uid="{00000000-0005-0000-0000-0000F61B0000}"/>
    <cellStyle name="Хороший 11" xfId="7159" xr:uid="{00000000-0005-0000-0000-0000F71B0000}"/>
    <cellStyle name="Хороший 12" xfId="7160" xr:uid="{00000000-0005-0000-0000-0000F81B0000}"/>
    <cellStyle name="Хороший 13" xfId="7161" xr:uid="{00000000-0005-0000-0000-0000F91B0000}"/>
    <cellStyle name="Хороший 14" xfId="7162" xr:uid="{00000000-0005-0000-0000-0000FA1B0000}"/>
    <cellStyle name="Хороший 15" xfId="7163" xr:uid="{00000000-0005-0000-0000-0000FB1B0000}"/>
    <cellStyle name="Хороший 16" xfId="7164" xr:uid="{00000000-0005-0000-0000-0000FC1B0000}"/>
    <cellStyle name="Хороший 2" xfId="7165" xr:uid="{00000000-0005-0000-0000-0000FD1B0000}"/>
    <cellStyle name="Хороший 2 10" xfId="7166" xr:uid="{00000000-0005-0000-0000-0000FE1B0000}"/>
    <cellStyle name="Хороший 2 11" xfId="7167" xr:uid="{00000000-0005-0000-0000-0000FF1B0000}"/>
    <cellStyle name="Хороший 2 12" xfId="7168" xr:uid="{00000000-0005-0000-0000-0000001C0000}"/>
    <cellStyle name="Хороший 2 13" xfId="7169" xr:uid="{00000000-0005-0000-0000-0000011C0000}"/>
    <cellStyle name="Хороший 2 2" xfId="7170" xr:uid="{00000000-0005-0000-0000-0000021C0000}"/>
    <cellStyle name="Хороший 2 2 2" xfId="7171" xr:uid="{00000000-0005-0000-0000-0000031C0000}"/>
    <cellStyle name="Хороший 2 3" xfId="7172" xr:uid="{00000000-0005-0000-0000-0000041C0000}"/>
    <cellStyle name="Хороший 2 3 2" xfId="7173" xr:uid="{00000000-0005-0000-0000-0000051C0000}"/>
    <cellStyle name="Хороший 2 4" xfId="7174" xr:uid="{00000000-0005-0000-0000-0000061C0000}"/>
    <cellStyle name="Хороший 2 4 2" xfId="7175" xr:uid="{00000000-0005-0000-0000-0000071C0000}"/>
    <cellStyle name="Хороший 2 5" xfId="7176" xr:uid="{00000000-0005-0000-0000-0000081C0000}"/>
    <cellStyle name="Хороший 2 5 2" xfId="7177" xr:uid="{00000000-0005-0000-0000-0000091C0000}"/>
    <cellStyle name="Хороший 2 6" xfId="7178" xr:uid="{00000000-0005-0000-0000-00000A1C0000}"/>
    <cellStyle name="Хороший 2 6 2" xfId="7179" xr:uid="{00000000-0005-0000-0000-00000B1C0000}"/>
    <cellStyle name="Хороший 2 7" xfId="7180" xr:uid="{00000000-0005-0000-0000-00000C1C0000}"/>
    <cellStyle name="Хороший 2 8" xfId="7181" xr:uid="{00000000-0005-0000-0000-00000D1C0000}"/>
    <cellStyle name="Хороший 2 9" xfId="7182" xr:uid="{00000000-0005-0000-0000-00000E1C0000}"/>
    <cellStyle name="Хороший 3" xfId="7183" xr:uid="{00000000-0005-0000-0000-00000F1C0000}"/>
    <cellStyle name="Хороший 4" xfId="7184" xr:uid="{00000000-0005-0000-0000-0000101C0000}"/>
    <cellStyle name="Хороший 5" xfId="7185" xr:uid="{00000000-0005-0000-0000-0000111C0000}"/>
    <cellStyle name="Хороший 6" xfId="7186" xr:uid="{00000000-0005-0000-0000-0000121C0000}"/>
    <cellStyle name="Хороший 7" xfId="7187" xr:uid="{00000000-0005-0000-0000-0000131C0000}"/>
    <cellStyle name="Хороший 8" xfId="7188" xr:uid="{00000000-0005-0000-0000-0000141C0000}"/>
    <cellStyle name="Хороший 9" xfId="7189" xr:uid="{00000000-0005-0000-0000-0000151C0000}"/>
    <cellStyle name="Цифры по центру с десятыми" xfId="7190" xr:uid="{00000000-0005-0000-0000-0000161C0000}"/>
    <cellStyle name="Числовой" xfId="7191" xr:uid="{00000000-0005-0000-0000-0000171C0000}"/>
    <cellStyle name="Џђћ–…ќ’ќ›‰" xfId="7192" xr:uid="{00000000-0005-0000-0000-0000181C0000}"/>
    <cellStyle name="Џђћ–…ќ’ќ›‰ 2" xfId="7193" xr:uid="{00000000-0005-0000-0000-0000191C0000}"/>
    <cellStyle name="Шапка таблицы" xfId="7194" xr:uid="{00000000-0005-0000-0000-00001A1C0000}"/>
    <cellStyle name="Шапка таблицы 2" xfId="7195" xr:uid="{00000000-0005-0000-0000-00001B1C0000}"/>
    <cellStyle name="Шапка таблицы 3" xfId="7196" xr:uid="{00000000-0005-0000-0000-00001C1C0000}"/>
    <cellStyle name="Экспертиза" xfId="7197" xr:uid="{00000000-0005-0000-0000-00001D1C0000}"/>
    <cellStyle name="㼿㼿" xfId="7198" xr:uid="{00000000-0005-0000-0000-00001E1C0000}"/>
    <cellStyle name="㼿㼿?" xfId="7199" xr:uid="{00000000-0005-0000-0000-00001F1C0000}"/>
    <cellStyle name="㼿㼿_11.10.11 К дог.Очистные Сырзавод ПС Борисоглеб" xfId="7200" xr:uid="{00000000-0005-0000-0000-0000201C0000}"/>
    <cellStyle name="㼿㼿㼿" xfId="7201" xr:uid="{00000000-0005-0000-0000-0000211C0000}"/>
    <cellStyle name="㼿㼿㼿?" xfId="7202" xr:uid="{00000000-0005-0000-0000-0000221C0000}"/>
    <cellStyle name="㼿㼿㼿_Приложения_3" xfId="7203" xr:uid="{00000000-0005-0000-0000-0000231C0000}"/>
    <cellStyle name="㼿㼿㼿㼿" xfId="7204" xr:uid="{00000000-0005-0000-0000-0000241C0000}"/>
    <cellStyle name="㼿㼿㼿㼿?" xfId="7205" xr:uid="{00000000-0005-0000-0000-0000251C0000}"/>
    <cellStyle name="㼿㼿㼿㼿_Приложения" xfId="7206" xr:uid="{00000000-0005-0000-0000-0000261C0000}"/>
    <cellStyle name="㼿㼿㼿㼿㼿" xfId="7207" xr:uid="{00000000-0005-0000-0000-0000271C0000}"/>
    <cellStyle name="㼿㼿㼿㼿㼿?" xfId="7208" xr:uid="{00000000-0005-0000-0000-0000281C0000}"/>
    <cellStyle name="㼿㼿㼿㼿㼿_11.10.11 К дог.Очистные Сырзавод ПС Борисоглеб" xfId="7209" xr:uid="{00000000-0005-0000-0000-0000291C0000}"/>
    <cellStyle name="㼿㼿㼿㼿㼿㼿?" xfId="7210" xr:uid="{00000000-0005-0000-0000-00002A1C0000}"/>
    <cellStyle name="㼿㼿㼿㼿㼿㼿? 2" xfId="7211" xr:uid="{00000000-0005-0000-0000-00002B1C0000}"/>
    <cellStyle name="㼿㼿㼿㼿㼿㼿? 2 2" xfId="7212" xr:uid="{00000000-0005-0000-0000-00002C1C0000}"/>
    <cellStyle name="㼿㼿㼿㼿㼿㼿? 2 3" xfId="7213" xr:uid="{00000000-0005-0000-0000-00002D1C0000}"/>
    <cellStyle name="㼿㼿㼿㼿㼿㼿? 2 4" xfId="7214" xr:uid="{00000000-0005-0000-0000-00002E1C0000}"/>
    <cellStyle name="㼿㼿㼿㼿㼿㼿? 2 5" xfId="7215" xr:uid="{00000000-0005-0000-0000-00002F1C0000}"/>
    <cellStyle name="㼿㼿㼿㼿㼿㼿? 2 6" xfId="7216" xr:uid="{00000000-0005-0000-0000-0000301C0000}"/>
    <cellStyle name="㼿㼿㼿㼿㼿㼿? 3" xfId="7217" xr:uid="{00000000-0005-0000-0000-0000311C0000}"/>
    <cellStyle name="㼿㼿㼿㼿㼿㼿? 3 2" xfId="7218" xr:uid="{00000000-0005-0000-0000-0000321C0000}"/>
    <cellStyle name="㼿㼿㼿㼿㼿㼿? 3 3" xfId="7219" xr:uid="{00000000-0005-0000-0000-0000331C0000}"/>
    <cellStyle name="㼿㼿㼿㼿㼿㼿? 3 4" xfId="7220" xr:uid="{00000000-0005-0000-0000-0000341C0000}"/>
    <cellStyle name="㼿㼿㼿㼿㼿㼿? 3 5" xfId="7221" xr:uid="{00000000-0005-0000-0000-0000351C0000}"/>
    <cellStyle name="㼿㼿㼿㼿㼿㼿? 3 6" xfId="7222" xr:uid="{00000000-0005-0000-0000-0000361C0000}"/>
    <cellStyle name="㼿㼿㼿㼿㼿㼿? 4" xfId="7223" xr:uid="{00000000-0005-0000-0000-0000371C0000}"/>
    <cellStyle name="㼿㼿㼿㼿㼿㼿? 5" xfId="7224" xr:uid="{00000000-0005-0000-0000-0000381C0000}"/>
    <cellStyle name="㼿㼿㼿㼿㼿㼿? 6" xfId="7225" xr:uid="{00000000-0005-0000-0000-0000391C0000}"/>
    <cellStyle name="㼿㼿㼿㼿㼿㼿? 7" xfId="7226" xr:uid="{00000000-0005-0000-0000-00003A1C0000}"/>
    <cellStyle name="㼿㼿㼿㼿㼿㼿? 8" xfId="7227" xr:uid="{00000000-0005-0000-0000-00003B1C0000}"/>
    <cellStyle name="㼿㼿㼿㼿㼿㼿㼿㼿" xfId="7228" xr:uid="{00000000-0005-0000-0000-00003C1C0000}"/>
    <cellStyle name="㼿㼿㼿㼿㼿㼿㼿㼿㼿" xfId="7229" xr:uid="{00000000-0005-0000-0000-00003D1C0000}"/>
    <cellStyle name="㼿㼿㼿㼿㼿㼿㼿㼿㼿㼿" xfId="7230" xr:uid="{00000000-0005-0000-0000-00003E1C0000}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KACH~1\AppData\Local\Temp\&#1045;&#1076;&#1080;&#1085;&#1099;&#1077;%20&#1089;&#1090;&#1072;&#1074;&#1082;&#1080;_30.09.20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76;&#1086;&#1082;&#1091;&#1084;&#1077;&#1085;&#1090;&#1099;/&#1069;&#1082;&#1086;&#1085;&#1086;&#1084;&#1080;&#1095;&#1077;&#1089;&#1082;&#1072;&#1103;%20&#1089;&#1083;&#1091;&#1078;&#1073;&#1072;/&#1045;&#1084;&#1077;&#1083;&#1100;&#1103;&#1085;&#1086;&#1074;&#1072;%20&#1040;.%20&#1055;/&#1058;&#1072;&#1088;&#1080;&#1092;%202023/&#1058;&#1072;&#1088;&#1080;&#1092;&#1085;&#1072;&#1103;%20&#1079;&#1072;&#1103;&#1074;&#1082;&#1072;_&#1082;&#1086;&#1088;&#1088;&#1077;&#1082;&#1090;&#1080;&#1088;&#1086;&#1074;&#1082;&#1072;/&#1053;&#1042;&#1042;%202023_01.05.2022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Users\parfenovms\AppData\Local\Microsoft\Windows\Temporary%20Internet%20Files\Content.IE5\XQ1XVJXR\Users\Pytkin_AD.MRSK-C\AppData\Local\Microsoft\Windows\Temporary%20Internet%20Files\Content.Outlook\KXZI8PVK\&#1041;&#1040;&#1047;&#1040;%20&#1041;&#1088;&#1103;&#1085;&#1089;&#1082;%20(&#1088;&#1072;&#1079;&#1073;&#1083;&#1086;&#1082;.)_&#1092;&#1072;&#1082;&#1090;%202010.xlsx?DA721506" TargetMode="External"/><Relationship Id="rId1" Type="http://schemas.openxmlformats.org/officeDocument/2006/relationships/externalLinkPath" Target="file:///\\DA721506\&#1041;&#1040;&#1047;&#1040;%20&#1041;&#1088;&#1103;&#1085;&#1089;&#1082;%20(&#1088;&#1072;&#1079;&#1073;&#1083;&#1086;&#1082;.)_&#1092;&#1072;&#1082;&#1090;%20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ytkin_AD.MRSK-C\AppData\Local\Microsoft\Windows\Temporary%20Internet%20Files\Content.Outlook\KXZI8PVK\&#1041;&#1040;&#1047;&#1040;%20&#1041;&#1088;&#1103;&#1085;&#1089;&#1082;%20(&#1088;&#1072;&#1079;&#1073;&#1083;&#1086;&#1082;.)_&#1092;&#1072;&#1082;&#1090;%2020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ukarev.sg\AppData\Local\Microsoft\Windows\Temporary%20Internet%20Files\Content.Outlook\RB9WUW6J\&#1055;&#1088;&#1080;&#1083;&#1086;&#1078;&#1077;&#1085;&#1080;&#1077;%2026%20&#1089;%20&#1056;&#1069;&#1057;\&#1041;&#1088;&#1103;&#1085;&#1089;&#1082;%20&#1055;&#1088;&#1080;&#1083;&#1086;&#1078;&#1077;&#1085;&#1080;&#1077;%2026%20&#1089;%20&#1088;&#1072;&#1079;&#1073;&#1080;&#1074;&#1082;&#1086;&#1081;%20&#1087;&#1086;%20&#1056;&#1069;&#1057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fenovms\AppData\Local\Microsoft\Windows\Temporary%20Internet%20Files\Content.IE5\XQ1XVJXR\Users\User\Downloads\&#1060;&#1086;&#1088;&#1084;&#1072;&#1090;%20&#1055;&#1088;&#1080;&#1083;&#1086;&#1078;&#1077;&#1085;&#1080;&#1077;%20&#8470;26%20&#1089;&#1082;&#1086;&#1088;&#1088;&#1077;&#1082;&#1090;&#1080;&#1088;&#1086;&#1074;&#1072;&#1085;%2019%2006%202012%20(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60;&#1086;&#1088;&#1084;&#1072;&#1090;%20&#1055;&#1088;&#1080;&#1083;&#1086;&#1078;&#1077;&#1085;&#1080;&#1077;%20&#8470;26%20&#1089;&#1082;&#1086;&#1088;&#1088;&#1077;&#1082;&#1090;&#1080;&#1088;&#1086;&#1074;&#1072;&#1085;%2019%2006%202012%20(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5;&#1076;&#1080;&#1085;&#1099;&#1077;%20&#1089;&#1090;&#1072;&#1074;&#1082;&#1080;_26.07.202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7;&#1072;&#1087;&#1088;&#1086;&#1089;_&#1087;&#1086;_&#1058;&#1055;%20(1)%202021_28.07.2022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5;&#1076;&#1080;&#1085;&#1099;&#1077;%20&#1089;&#1090;&#1072;&#1074;&#1082;&#1080;_19.04.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 2014"/>
      <sheetName val="Приложение №1 2015"/>
      <sheetName val="Приложение №1 2016"/>
      <sheetName val="Приложение № 1 2017"/>
      <sheetName val="Приложение №1 2018"/>
      <sheetName val="Приложение №1 2019"/>
      <sheetName val="20"/>
      <sheetName val="08"/>
      <sheetName val="Приложение № 2"/>
      <sheetName val="Приложение № 3"/>
      <sheetName val="Себестоимость_2018"/>
      <sheetName val="ФОТ_2018"/>
      <sheetName val="Себестоимость_2019"/>
      <sheetName val="Расходы по 08_льготное ТП"/>
      <sheetName val="Приложение №4 2019"/>
      <sheetName val="Приложение № 4 2017"/>
      <sheetName val="Приложение № 5 2014"/>
      <sheetName val="Приложение № 5 2015"/>
      <sheetName val="Приложение № 5 2016"/>
      <sheetName val="Приложение № 5 2017"/>
      <sheetName val="Приложение №5 2018"/>
      <sheetName val="Приложение №5 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9">
          <cell r="G9">
            <v>1653.9</v>
          </cell>
        </row>
      </sheetData>
      <sheetData sheetId="6">
        <row r="112">
          <cell r="H112">
            <v>1292365.6399999999</v>
          </cell>
        </row>
      </sheetData>
      <sheetData sheetId="7">
        <row r="79">
          <cell r="G79">
            <v>15814160.109999999</v>
          </cell>
        </row>
      </sheetData>
      <sheetData sheetId="8" refreshError="1"/>
      <sheetData sheetId="9">
        <row r="14">
          <cell r="C14">
            <v>12191.247259999998</v>
          </cell>
        </row>
      </sheetData>
      <sheetData sheetId="10" refreshError="1"/>
      <sheetData sheetId="11" refreshError="1"/>
      <sheetData sheetId="12" refreshError="1"/>
      <sheetData sheetId="13">
        <row r="72">
          <cell r="G72">
            <v>10859578.839999998</v>
          </cell>
        </row>
      </sheetData>
      <sheetData sheetId="14">
        <row r="15">
          <cell r="C15">
            <v>7088.29</v>
          </cell>
        </row>
        <row r="17">
          <cell r="C17">
            <v>7324.13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HSHEET"/>
      <sheetName val="НР"/>
      <sheetName val="ПР"/>
      <sheetName val="П1.15"/>
      <sheetName val="Корр СМЕТА"/>
      <sheetName val="ИПЦ"/>
      <sheetName val="Льготы по КД"/>
      <sheetName val="Тепловая энергия"/>
      <sheetName val="ФОТ"/>
      <sheetName val="Амортизация"/>
      <sheetName val="Льготы по КД_2020"/>
      <sheetName val="Доли выручки"/>
      <sheetName val="НП"/>
      <sheetName val="ПУ по 522-ФЗ"/>
      <sheetName val="Расчет процентов по займам"/>
      <sheetName val="Выпадающие "/>
      <sheetName val="Аренда"/>
      <sheetName val="Аренда_2021"/>
      <sheetName val="Таблица 5"/>
      <sheetName val="Корр. ПО"/>
      <sheetName val="Корр ИП"/>
      <sheetName val="Корр. ПР"/>
      <sheetName val="Корр. КНК"/>
      <sheetName val="Лист1"/>
      <sheetName val="Корр Н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0">
          <cell r="I20">
            <v>1620534.2665753425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>
        <row r="8">
          <cell r="E8">
            <v>5</v>
          </cell>
        </row>
      </sheetData>
      <sheetData sheetId="20">
        <row r="10">
          <cell r="N10">
            <v>-8484.5</v>
          </cell>
        </row>
      </sheetData>
      <sheetData sheetId="21">
        <row r="16">
          <cell r="J16">
            <v>-3600.9190854260232</v>
          </cell>
        </row>
      </sheetData>
      <sheetData sheetId="22" refreshError="1"/>
      <sheetData sheetId="23" refreshError="1"/>
      <sheetData sheetId="24">
        <row r="25">
          <cell r="O25">
            <v>2465.5933959491895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4"/>
      <sheetName val="Списки"/>
    </sheetNames>
    <sheetDataSet>
      <sheetData sheetId="0"/>
      <sheetData sheetId="1">
        <row r="38">
          <cell r="K38" t="str">
            <v>ВЛЭП 110-220 кВ (ВН)</v>
          </cell>
        </row>
        <row r="39">
          <cell r="K39" t="str">
            <v>ВЛЭП 35 кВ (СН1)</v>
          </cell>
        </row>
        <row r="40">
          <cell r="K40" t="str">
            <v>ВЛЭП 1-20 кВ (СН2)</v>
          </cell>
        </row>
        <row r="41">
          <cell r="K41" t="str">
            <v>ВЛЭП 0,4 кВ (НН)</v>
          </cell>
        </row>
        <row r="42">
          <cell r="K42" t="str">
            <v>КЛЭП 110 кВ (ВН)</v>
          </cell>
        </row>
        <row r="43">
          <cell r="K43" t="str">
            <v>КЛЭП 20-35 кВ (СН1)</v>
          </cell>
        </row>
        <row r="44">
          <cell r="K44" t="str">
            <v>КЛЭП 3-10 кВ (СН2)</v>
          </cell>
        </row>
        <row r="45">
          <cell r="K45" t="str">
            <v>КЛЭП до 1 кВ (НН)</v>
          </cell>
        </row>
        <row r="46">
          <cell r="K46" t="str">
            <v>РП, ТП 110 кВ (ВН)</v>
          </cell>
        </row>
        <row r="47">
          <cell r="K47" t="str">
            <v>РП, ТП 35 кВ (СН1)</v>
          </cell>
        </row>
        <row r="48">
          <cell r="K48" t="str">
            <v>РП, ТП 6/10-0,4 (СН2)</v>
          </cell>
        </row>
        <row r="49">
          <cell r="K49" t="str">
            <v>Автоматизация, связь</v>
          </cell>
        </row>
        <row r="50">
          <cell r="K50" t="str">
            <v>АИИС КУЭ ОРЭ</v>
          </cell>
        </row>
        <row r="51">
          <cell r="K51" t="str">
            <v>АИИС КУЭ РРЭ</v>
          </cell>
        </row>
        <row r="52">
          <cell r="K52" t="str">
            <v>Прочие средства учета и контроля электроэнергии</v>
          </cell>
        </row>
        <row r="53">
          <cell r="K53" t="str">
            <v>установка приборов учета э/э, т/э,х и г воды на хоз. нужды</v>
          </cell>
        </row>
        <row r="54">
          <cell r="K54" t="str">
            <v>ПИР</v>
          </cell>
        </row>
        <row r="55">
          <cell r="K55" t="str">
            <v>Здания</v>
          </cell>
        </row>
        <row r="56">
          <cell r="K56" t="str">
            <v>Сооружения (кроме электрических линий)</v>
          </cell>
        </row>
        <row r="57">
          <cell r="K57" t="str">
            <v>Земельные участки</v>
          </cell>
        </row>
        <row r="58">
          <cell r="K58" t="str">
            <v>Машины и оборудование (кроме подстанций)</v>
          </cell>
        </row>
        <row r="59">
          <cell r="K59" t="str">
            <v>Транспортные средства</v>
          </cell>
        </row>
        <row r="60">
          <cell r="K60" t="str">
            <v>Инвентарь</v>
          </cell>
        </row>
        <row r="61">
          <cell r="K61" t="str">
            <v>Прочие основные средства</v>
          </cell>
        </row>
        <row r="62">
          <cell r="K62" t="str">
            <v>мероприятия по повышению антитеррористической и противодиверсионной защищенности объектов электроэнергетики</v>
          </cell>
        </row>
        <row r="63">
          <cell r="K63" t="str">
            <v>Оборудование, не входящее в сметы строек</v>
          </cell>
        </row>
        <row r="64">
          <cell r="K64" t="str">
            <v>Объекты непроизводственной сферы</v>
          </cell>
        </row>
        <row r="65">
          <cell r="K65" t="str">
            <v>патенты</v>
          </cell>
        </row>
        <row r="66">
          <cell r="K66" t="str">
            <v>авторские права</v>
          </cell>
        </row>
        <row r="67">
          <cell r="K67" t="str">
            <v>товарные знаки и знаки обслуживания</v>
          </cell>
        </row>
        <row r="68">
          <cell r="K68" t="str">
            <v>прочие объекты интеллект собственности</v>
          </cell>
        </row>
        <row r="69">
          <cell r="K69" t="str">
            <v>Деловая репутация</v>
          </cell>
        </row>
        <row r="70">
          <cell r="K70" t="str">
            <v>Организационные расходы</v>
          </cell>
        </row>
        <row r="71">
          <cell r="K71" t="str">
            <v>Прочие объекты нематериальынх активов</v>
          </cell>
        </row>
        <row r="72">
          <cell r="K72" t="str">
            <v>Прочие долгосрочные финансовые вложения</v>
          </cell>
        </row>
        <row r="73">
          <cell r="K73" t="str">
            <v>Инвестиции в ценные бумаги</v>
          </cell>
        </row>
        <row r="74">
          <cell r="K74" t="str">
            <v xml:space="preserve">акции </v>
          </cell>
        </row>
        <row r="75">
          <cell r="K75" t="str">
            <v>облигации</v>
          </cell>
        </row>
        <row r="76">
          <cell r="K76" t="str">
            <v>векселя</v>
          </cell>
        </row>
        <row r="77">
          <cell r="K77" t="str">
            <v>прочие ценные бумаги</v>
          </cell>
        </row>
        <row r="78">
          <cell r="K78" t="str">
            <v>Вклады в уставный капитал других организаций</v>
          </cell>
        </row>
        <row r="79">
          <cell r="K79" t="str">
            <v>Вклады по договорам совместной деятельности</v>
          </cell>
        </row>
        <row r="80">
          <cell r="K80" t="str">
            <v>Займы, выданные другим организациям</v>
          </cell>
        </row>
        <row r="81">
          <cell r="K81" t="str">
            <v>займы предприятиям Группы</v>
          </cell>
        </row>
        <row r="82">
          <cell r="K82" t="str">
            <v>внешние займы</v>
          </cell>
        </row>
        <row r="83">
          <cell r="K83" t="str">
            <v>Прочие долгосрочные финансовые вложения</v>
          </cell>
        </row>
        <row r="84">
          <cell r="K84" t="str">
            <v>Приобретение основных средств</v>
          </cell>
        </row>
        <row r="85">
          <cell r="K85" t="str">
            <v>НИОКР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4"/>
      <sheetName val="Списки"/>
    </sheetNames>
    <sheetDataSet>
      <sheetData sheetId="0"/>
      <sheetData sheetId="1">
        <row r="38">
          <cell r="K38" t="str">
            <v>ВЛЭП 110-220 кВ (ВН)</v>
          </cell>
        </row>
        <row r="39">
          <cell r="K39" t="str">
            <v>ВЛЭП 35 кВ (СН1)</v>
          </cell>
        </row>
        <row r="40">
          <cell r="K40" t="str">
            <v>ВЛЭП 1-20 кВ (СН2)</v>
          </cell>
        </row>
        <row r="41">
          <cell r="K41" t="str">
            <v>ВЛЭП 0,4 кВ (НН)</v>
          </cell>
        </row>
        <row r="42">
          <cell r="K42" t="str">
            <v>КЛЭП 110 кВ (ВН)</v>
          </cell>
        </row>
        <row r="43">
          <cell r="K43" t="str">
            <v>КЛЭП 20-35 кВ (СН1)</v>
          </cell>
        </row>
        <row r="44">
          <cell r="K44" t="str">
            <v>КЛЭП 3-10 кВ (СН2)</v>
          </cell>
        </row>
        <row r="45">
          <cell r="K45" t="str">
            <v>КЛЭП до 1 кВ (НН)</v>
          </cell>
        </row>
        <row r="46">
          <cell r="K46" t="str">
            <v>РП, ТП 110 кВ (ВН)</v>
          </cell>
        </row>
        <row r="47">
          <cell r="K47" t="str">
            <v>РП, ТП 35 кВ (СН1)</v>
          </cell>
        </row>
        <row r="48">
          <cell r="K48" t="str">
            <v>РП, ТП 6/10-0,4 (СН2)</v>
          </cell>
        </row>
        <row r="49">
          <cell r="K49" t="str">
            <v>Автоматизация, связь</v>
          </cell>
        </row>
        <row r="50">
          <cell r="K50" t="str">
            <v>АИИС КУЭ ОРЭ</v>
          </cell>
        </row>
        <row r="51">
          <cell r="K51" t="str">
            <v>АИИС КУЭ РРЭ</v>
          </cell>
        </row>
        <row r="52">
          <cell r="K52" t="str">
            <v>Прочие средства учета и контроля электроэнергии</v>
          </cell>
        </row>
        <row r="53">
          <cell r="K53" t="str">
            <v>установка приборов учета э/э, т/э,х и г воды на хоз. нужды</v>
          </cell>
        </row>
        <row r="54">
          <cell r="K54" t="str">
            <v>ПИР</v>
          </cell>
        </row>
        <row r="55">
          <cell r="K55" t="str">
            <v>Здания</v>
          </cell>
        </row>
        <row r="56">
          <cell r="K56" t="str">
            <v>Сооружения (кроме электрических линий)</v>
          </cell>
        </row>
        <row r="57">
          <cell r="K57" t="str">
            <v>Земельные участки</v>
          </cell>
        </row>
        <row r="58">
          <cell r="K58" t="str">
            <v>Машины и оборудование (кроме подстанций)</v>
          </cell>
        </row>
        <row r="59">
          <cell r="K59" t="str">
            <v>Транспортные средства</v>
          </cell>
        </row>
        <row r="60">
          <cell r="K60" t="str">
            <v>Инвентарь</v>
          </cell>
        </row>
        <row r="61">
          <cell r="K61" t="str">
            <v>Прочие основные средства</v>
          </cell>
        </row>
        <row r="62">
          <cell r="K62" t="str">
            <v>мероприятия по повышению антитеррористической и противодиверсионной защищенности объектов электроэнергетики</v>
          </cell>
        </row>
        <row r="63">
          <cell r="K63" t="str">
            <v>Оборудование, не входящее в сметы строек</v>
          </cell>
        </row>
        <row r="64">
          <cell r="K64" t="str">
            <v>Объекты непроизводственной сферы</v>
          </cell>
        </row>
        <row r="65">
          <cell r="K65" t="str">
            <v>патенты</v>
          </cell>
        </row>
        <row r="66">
          <cell r="K66" t="str">
            <v>авторские права</v>
          </cell>
        </row>
        <row r="67">
          <cell r="K67" t="str">
            <v>товарные знаки и знаки обслуживания</v>
          </cell>
        </row>
        <row r="68">
          <cell r="K68" t="str">
            <v>прочие объекты интеллект собственности</v>
          </cell>
        </row>
        <row r="69">
          <cell r="K69" t="str">
            <v>Деловая репутация</v>
          </cell>
        </row>
        <row r="70">
          <cell r="K70" t="str">
            <v>Организационные расходы</v>
          </cell>
        </row>
        <row r="71">
          <cell r="K71" t="str">
            <v>Прочие объекты нематериальынх активов</v>
          </cell>
        </row>
        <row r="72">
          <cell r="K72" t="str">
            <v>Прочие долгосрочные финансовые вложения</v>
          </cell>
        </row>
        <row r="73">
          <cell r="K73" t="str">
            <v>Инвестиции в ценные бумаги</v>
          </cell>
        </row>
        <row r="74">
          <cell r="K74" t="str">
            <v xml:space="preserve">акции </v>
          </cell>
        </row>
        <row r="75">
          <cell r="K75" t="str">
            <v>облигации</v>
          </cell>
        </row>
        <row r="76">
          <cell r="K76" t="str">
            <v>векселя</v>
          </cell>
        </row>
        <row r="77">
          <cell r="K77" t="str">
            <v>прочие ценные бумаги</v>
          </cell>
        </row>
        <row r="78">
          <cell r="K78" t="str">
            <v>Вклады в уставный капитал других организаций</v>
          </cell>
        </row>
        <row r="79">
          <cell r="K79" t="str">
            <v>Вклады по договорам совместной деятельности</v>
          </cell>
        </row>
        <row r="80">
          <cell r="K80" t="str">
            <v>Займы, выданные другим организациям</v>
          </cell>
        </row>
        <row r="81">
          <cell r="K81" t="str">
            <v>займы предприятиям Группы</v>
          </cell>
        </row>
        <row r="82">
          <cell r="K82" t="str">
            <v>внешние займы</v>
          </cell>
        </row>
        <row r="83">
          <cell r="K83" t="str">
            <v>Прочие долгосрочные финансовые вложения</v>
          </cell>
        </row>
        <row r="84">
          <cell r="K84" t="str">
            <v>Приобретение основных средств</v>
          </cell>
        </row>
        <row r="85">
          <cell r="K85" t="str">
            <v>НИОКР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иложение 26"/>
      <sheetName val="Списки"/>
    </sheetNames>
    <sheetDataSet>
      <sheetData sheetId="0"/>
      <sheetData sheetId="1"/>
      <sheetData sheetId="2">
        <row r="4">
          <cell r="D4" t="str">
            <v>Белгородэнерго_Белгородские электрические сети</v>
          </cell>
        </row>
        <row r="5">
          <cell r="D5" t="str">
            <v>Белгородэнерго_Старооскольские электрические сети</v>
          </cell>
        </row>
        <row r="6">
          <cell r="D6" t="str">
            <v>Белгородэнерго_Белгородский РЭС</v>
          </cell>
        </row>
        <row r="7">
          <cell r="D7" t="str">
            <v>Белгородэнерго_Губкинский РЭС</v>
          </cell>
        </row>
        <row r="8">
          <cell r="D8" t="str">
            <v>Белгородэнерго_Шебекинский РЭС</v>
          </cell>
        </row>
        <row r="9">
          <cell r="D9" t="str">
            <v>Белгородэнерго_Валуйский РЭС</v>
          </cell>
        </row>
        <row r="10">
          <cell r="D10" t="str">
            <v>Белгородэнерго_Алексеевский РЭС</v>
          </cell>
        </row>
        <row r="11">
          <cell r="D11" t="str">
            <v>Белгородэнерго_Яковлевский РЭС</v>
          </cell>
        </row>
        <row r="12">
          <cell r="D12" t="str">
            <v>Белгородэнерго_Новооскольский РЭС</v>
          </cell>
        </row>
        <row r="13">
          <cell r="D13" t="str">
            <v>Белгородэнерго_Корочанский РЭС</v>
          </cell>
        </row>
        <row r="14">
          <cell r="D14" t="str">
            <v>Белгородэнерго_Красногвардейский РЭС</v>
          </cell>
        </row>
        <row r="15">
          <cell r="D15" t="str">
            <v>Белгородэнерго_Прохоровский РЭС</v>
          </cell>
        </row>
        <row r="16">
          <cell r="D16" t="str">
            <v>Белгородэнерго_Ракитянский РЭС</v>
          </cell>
        </row>
        <row r="17">
          <cell r="D17" t="str">
            <v>Белгородэнерго_Волоконовский РЭС</v>
          </cell>
        </row>
        <row r="18">
          <cell r="D18" t="str">
            <v>Белгородэнерго_Чернянский РЭС</v>
          </cell>
        </row>
        <row r="19">
          <cell r="D19" t="str">
            <v>Белгородэнерго_Грайворонский РЭС</v>
          </cell>
        </row>
        <row r="20">
          <cell r="D20" t="str">
            <v>Белгородэнерго_Ивнянский РЭС</v>
          </cell>
        </row>
        <row r="21">
          <cell r="D21" t="str">
            <v>Белгородэнерго_Ровеньской РЭС</v>
          </cell>
        </row>
        <row r="22">
          <cell r="D22" t="str">
            <v>Белгородэнерго_Вейделевский РЭС</v>
          </cell>
        </row>
        <row r="23">
          <cell r="D23" t="str">
            <v>Белгородэнерго_Борисовский РЭС</v>
          </cell>
        </row>
        <row r="24">
          <cell r="D24" t="str">
            <v>Белгородэнерго_Краснояружский РЭС</v>
          </cell>
        </row>
        <row r="25">
          <cell r="D25" t="str">
            <v>Белгородэнерго_Красненский РЭС</v>
          </cell>
        </row>
        <row r="26">
          <cell r="D26" t="str">
            <v>Брянскэнерго_Клинцовский РЭС</v>
          </cell>
        </row>
        <row r="27">
          <cell r="D27" t="str">
            <v>Брянскэнерго_Брянский РЭС</v>
          </cell>
        </row>
        <row r="28">
          <cell r="D28" t="str">
            <v>Брянскэнерго_Дятьковский РЭС</v>
          </cell>
        </row>
        <row r="29">
          <cell r="D29" t="str">
            <v>Брянскэнерго_Унечский РЭС</v>
          </cell>
        </row>
        <row r="30">
          <cell r="D30" t="str">
            <v>Брянскэнерго_Жуковский РЭС</v>
          </cell>
        </row>
        <row r="31">
          <cell r="D31" t="str">
            <v>Брянскэнерго_Стародубский РЭС</v>
          </cell>
        </row>
        <row r="32">
          <cell r="D32" t="str">
            <v>Брянскэнерго_Мглинский РЭС</v>
          </cell>
        </row>
        <row r="33">
          <cell r="D33" t="str">
            <v>Брянскэнерго_Суражский РЭС</v>
          </cell>
        </row>
        <row r="34">
          <cell r="D34" t="str">
            <v>Брянскэнерго_Новозыбковский РЭС</v>
          </cell>
        </row>
        <row r="35">
          <cell r="D35" t="str">
            <v>Брянскэнерго_Клетнянский РЭС</v>
          </cell>
        </row>
        <row r="36">
          <cell r="D36" t="str">
            <v>Брянскэнерго_Дубровский РЭС</v>
          </cell>
        </row>
        <row r="37">
          <cell r="D37" t="str">
            <v>Брянскэнерго_Выгоничский РЭС</v>
          </cell>
        </row>
        <row r="38">
          <cell r="D38" t="str">
            <v>Брянскэнерго_Рогнединский РЭС</v>
          </cell>
        </row>
        <row r="39">
          <cell r="D39" t="str">
            <v>Брянскэнерго_Жирятинский РЭС</v>
          </cell>
        </row>
        <row r="40">
          <cell r="D40" t="str">
            <v>Брянскэнерго_Брасовский РЭС</v>
          </cell>
        </row>
        <row r="41">
          <cell r="D41" t="str">
            <v>Брянскэнерго_Злынковский РЭС</v>
          </cell>
        </row>
        <row r="42">
          <cell r="D42" t="str">
            <v>Брянскэнерго_Карачевский РЭС</v>
          </cell>
        </row>
        <row r="43">
          <cell r="D43" t="str">
            <v>Брянскэнерго_Навлинский РЭС</v>
          </cell>
        </row>
        <row r="44">
          <cell r="D44" t="str">
            <v>Брянскэнерго_Севский РЭС</v>
          </cell>
        </row>
        <row r="45">
          <cell r="D45" t="str">
            <v>Брянскэнерго_Суземский РЭС</v>
          </cell>
        </row>
        <row r="46">
          <cell r="D46" t="str">
            <v>Брянскэнерго_Комаричский РЭС</v>
          </cell>
        </row>
        <row r="47">
          <cell r="D47" t="str">
            <v>Брянскэнерго_Климовский РЭС</v>
          </cell>
        </row>
        <row r="48">
          <cell r="D48" t="str">
            <v>Брянскэнерго_Красногорский РЭС</v>
          </cell>
        </row>
        <row r="49">
          <cell r="D49" t="str">
            <v>Брянскэнерго_Гордеевский РЭС</v>
          </cell>
        </row>
        <row r="50">
          <cell r="D50" t="str">
            <v>Брянскэнерго_Почепский РЭС</v>
          </cell>
        </row>
        <row r="51">
          <cell r="D51" t="str">
            <v>Брянскэнерго_Погарский РЭС</v>
          </cell>
        </row>
        <row r="52">
          <cell r="D52" t="str">
            <v>Брянскэнерго_Трубчевский РЭС</v>
          </cell>
        </row>
        <row r="53">
          <cell r="D53" t="str">
            <v>Воронежэнерго_Воронежский РЭС</v>
          </cell>
        </row>
        <row r="54">
          <cell r="D54" t="str">
            <v>Воронежэнерго_Рамонский РЭС</v>
          </cell>
        </row>
        <row r="55">
          <cell r="D55" t="str">
            <v>Воронежэнерго_Новоусманский РЭС</v>
          </cell>
        </row>
        <row r="56">
          <cell r="D56" t="str">
            <v>Воронежэнерго_Панинский РЭС</v>
          </cell>
        </row>
        <row r="57">
          <cell r="D57" t="str">
            <v>Воронежэнерго_Семилукский РЭС</v>
          </cell>
        </row>
        <row r="58">
          <cell r="D58" t="str">
            <v>Воронежэнерго_Каширский РЭС</v>
          </cell>
        </row>
        <row r="59">
          <cell r="D59" t="str">
            <v>Воронежэнерго_Верхнехавский РЭС</v>
          </cell>
        </row>
        <row r="60">
          <cell r="D60" t="str">
            <v>Воронежэнерго_Хохольский РЭС</v>
          </cell>
        </row>
        <row r="61">
          <cell r="D61" t="str">
            <v>Воронежэнерго_Нижнедевицкий РЭС</v>
          </cell>
        </row>
        <row r="62">
          <cell r="D62" t="str">
            <v>Воронежэнерго_Репьевский РЭС</v>
          </cell>
        </row>
        <row r="63">
          <cell r="D63" t="str">
            <v>Воронежэнерго_Аннинский РЭС</v>
          </cell>
        </row>
        <row r="64">
          <cell r="D64" t="str">
            <v xml:space="preserve">Воронежэнерго_Борисоглебский ВрЭ РЭС </v>
          </cell>
        </row>
        <row r="65">
          <cell r="D65" t="str">
            <v>Воронежэнерго_Грибановский РЭС</v>
          </cell>
        </row>
        <row r="66">
          <cell r="D66" t="str">
            <v>Воронежэнерго_Новохоперский РЭС</v>
          </cell>
        </row>
        <row r="67">
          <cell r="D67" t="str">
            <v>Воронежэнерго_Поворинский РЭС</v>
          </cell>
        </row>
        <row r="68">
          <cell r="D68" t="str">
            <v>Воронежэнерго_Таловский РЭС</v>
          </cell>
        </row>
        <row r="69">
          <cell r="D69" t="str">
            <v>Воронежэнерго_Терновский РЭС</v>
          </cell>
        </row>
        <row r="70">
          <cell r="D70" t="str">
            <v>Воронежэнерго_Эртильский РЭС</v>
          </cell>
        </row>
        <row r="71">
          <cell r="D71" t="str">
            <v>Воронежэнерго_Бобровский РЭС</v>
          </cell>
        </row>
        <row r="72">
          <cell r="D72" t="str">
            <v>Воронежэнерго_Каменский РЭС</v>
          </cell>
        </row>
        <row r="73">
          <cell r="D73" t="str">
            <v>Воронежэнерго_Кантемировский РЭС</v>
          </cell>
        </row>
        <row r="74">
          <cell r="D74" t="str">
            <v>Воронежэнерго_Лискинский РЭС</v>
          </cell>
        </row>
        <row r="75">
          <cell r="D75" t="str">
            <v>Воронежэнерго_Ольховатский РЭС</v>
          </cell>
        </row>
        <row r="76">
          <cell r="D76" t="str">
            <v>Воронежэнерго_Острогожский РЭС</v>
          </cell>
        </row>
        <row r="77">
          <cell r="D77" t="str">
            <v>Воронежэнерго_Подгоренский РЭС</v>
          </cell>
        </row>
        <row r="78">
          <cell r="D78" t="str">
            <v>Воронежэнерго_Россошанский РЭС</v>
          </cell>
        </row>
        <row r="79">
          <cell r="D79" t="str">
            <v>Воронежэнерго_Калачеевский РЭС</v>
          </cell>
        </row>
        <row r="80">
          <cell r="D80" t="str">
            <v>Воронежэнерго_Богучарский РЭС</v>
          </cell>
        </row>
        <row r="81">
          <cell r="D81" t="str">
            <v>Воронежэнерго_ПетропавловскийРЭС</v>
          </cell>
        </row>
        <row r="82">
          <cell r="D82" t="str">
            <v>Воронежэнерго_Верхнемамонский РЭС</v>
          </cell>
        </row>
        <row r="83">
          <cell r="D83" t="str">
            <v>Воронежэнерго_Павловский РЭС</v>
          </cell>
        </row>
        <row r="84">
          <cell r="D84" t="str">
            <v>Воронежэнерго_Бутурлиновский РЭС</v>
          </cell>
        </row>
        <row r="85">
          <cell r="D85" t="str">
            <v>Воронежэнерго_Воробьевский РЭС</v>
          </cell>
        </row>
        <row r="86">
          <cell r="D86" t="str">
            <v xml:space="preserve">Костромаэнерго_Городской РЭС </v>
          </cell>
        </row>
        <row r="87">
          <cell r="D87" t="str">
            <v xml:space="preserve">Костромаэнерго_Костромской РЭС </v>
          </cell>
        </row>
        <row r="88">
          <cell r="D88" t="str">
            <v xml:space="preserve">Костромаэнерго_Островский РЭС </v>
          </cell>
        </row>
        <row r="89">
          <cell r="D89" t="str">
            <v>Костромаэнерго_Судиславский РЭС</v>
          </cell>
        </row>
        <row r="90">
          <cell r="D90" t="str">
            <v xml:space="preserve">Костромаэнерго_Сусанинский РЭС </v>
          </cell>
        </row>
        <row r="91">
          <cell r="D91" t="str">
            <v>Костромаэнерго_Волгореченский РЭС</v>
          </cell>
        </row>
        <row r="92">
          <cell r="D92" t="str">
            <v>Костромаэнерго_Красносельский РЭС</v>
          </cell>
        </row>
        <row r="93">
          <cell r="D93" t="str">
            <v>Костромаэнерго_Нерехтский РЭС</v>
          </cell>
        </row>
        <row r="94">
          <cell r="D94" t="str">
            <v xml:space="preserve">Костромаэнерго_Чухломский РЭС </v>
          </cell>
        </row>
        <row r="95">
          <cell r="D95" t="str">
            <v>Костромаэнерго_Солигаличский РЭС</v>
          </cell>
        </row>
        <row r="96">
          <cell r="D96" t="str">
            <v>Костромаэнерго_Буйский РЭС</v>
          </cell>
        </row>
        <row r="97">
          <cell r="D97" t="str">
            <v>Костромаэнерго_Галичский РЭС</v>
          </cell>
        </row>
        <row r="98">
          <cell r="D98" t="str">
            <v xml:space="preserve">Костромаэнерго_Межевской РЭС </v>
          </cell>
        </row>
        <row r="99">
          <cell r="D99" t="str">
            <v xml:space="preserve">Костромаэнерго_Нейский РЭС </v>
          </cell>
        </row>
        <row r="100">
          <cell r="D100" t="str">
            <v xml:space="preserve">Костромаэнерго_Парфеньевский </v>
          </cell>
        </row>
        <row r="101">
          <cell r="D101" t="str">
            <v xml:space="preserve">Костромаэнерго_Антроповский </v>
          </cell>
        </row>
        <row r="102">
          <cell r="D102" t="str">
            <v xml:space="preserve">Костромаэнерго_Кадыйский РЭС </v>
          </cell>
        </row>
        <row r="103">
          <cell r="D103" t="str">
            <v xml:space="preserve">Костромаэнерго_Кологривский РЭС </v>
          </cell>
        </row>
        <row r="104">
          <cell r="D104" t="str">
            <v>Костромаэнерго_Макарьевский РЭС</v>
          </cell>
        </row>
        <row r="105">
          <cell r="D105" t="str">
            <v xml:space="preserve">Костромаэнерго_Мантуровский РЭС </v>
          </cell>
        </row>
        <row r="106">
          <cell r="D106" t="str">
            <v>Костромаэнерго_Шарьинский РЭС</v>
          </cell>
        </row>
        <row r="107">
          <cell r="D107" t="str">
            <v xml:space="preserve">Костромаэнерго_Октябрьский РЭС </v>
          </cell>
        </row>
        <row r="108">
          <cell r="D108" t="str">
            <v>Костромаэнерго_Рождественский РЭС</v>
          </cell>
        </row>
        <row r="109">
          <cell r="D109" t="str">
            <v>Костромаэнерго_Поназыревский РЭС</v>
          </cell>
        </row>
        <row r="110">
          <cell r="D110" t="str">
            <v>Костромаэнерго_Павинский РЭС</v>
          </cell>
        </row>
        <row r="111">
          <cell r="D111" t="str">
            <v xml:space="preserve">Костромаэнерго_Пыщугский РЭС </v>
          </cell>
        </row>
        <row r="112">
          <cell r="D112" t="str">
            <v xml:space="preserve">Костромаэнерго_Вохомский РЭС </v>
          </cell>
        </row>
        <row r="113">
          <cell r="D113" t="str">
            <v>Курскэнерго_Золотухинский РЭС</v>
          </cell>
        </row>
        <row r="114">
          <cell r="D114" t="str">
            <v>Курскэнерго_Курский РЭС</v>
          </cell>
        </row>
        <row r="115">
          <cell r="D115" t="str">
            <v>Курскэнерго_Бесединский РЭС</v>
          </cell>
        </row>
        <row r="116">
          <cell r="D116" t="str">
            <v>Курскэнерго_Поныровский РЭС</v>
          </cell>
        </row>
        <row r="117">
          <cell r="D117" t="str">
            <v>Курскэнерго_Октябрьский РЭС</v>
          </cell>
        </row>
        <row r="118">
          <cell r="D118" t="str">
            <v>Курскэнерго_Медвенский РЭС</v>
          </cell>
        </row>
        <row r="119">
          <cell r="D119" t="str">
            <v>Курскэнерго_Центральный РЭС</v>
          </cell>
        </row>
        <row r="120">
          <cell r="D120" t="str">
            <v>Курскэнерго_Льговский РЭС</v>
          </cell>
        </row>
        <row r="121">
          <cell r="D121" t="str">
            <v>Курскэнерго_Рыльский РЭС</v>
          </cell>
        </row>
        <row r="122">
          <cell r="D122" t="str">
            <v>Курскэнерго_Глушковский РЭС</v>
          </cell>
        </row>
        <row r="123">
          <cell r="D123" t="str">
            <v>Курскэнерго_Конышевский РЭС</v>
          </cell>
        </row>
        <row r="124">
          <cell r="D124" t="str">
            <v>Курскэнерго_Кореневский РЭС</v>
          </cell>
        </row>
        <row r="125">
          <cell r="D125" t="str">
            <v>Курскэнерго_Курчатовский РЭС</v>
          </cell>
        </row>
        <row r="126">
          <cell r="D126" t="str">
            <v>Курскэнерго_Обоянский РЭС</v>
          </cell>
        </row>
        <row r="127">
          <cell r="D127" t="str">
            <v>Курскэнерго_Пристенский РЭС</v>
          </cell>
        </row>
        <row r="128">
          <cell r="D128" t="str">
            <v>Курскэнерго_Солнцевский РЭС</v>
          </cell>
        </row>
        <row r="129">
          <cell r="D129" t="str">
            <v>Курскэнерго_Беловский РЭС</v>
          </cell>
        </row>
        <row r="130">
          <cell r="D130" t="str">
            <v>Курскэнерго_Суджанский РЭС</v>
          </cell>
        </row>
        <row r="131">
          <cell r="D131" t="str">
            <v>Курскэнерго_Большесолдатский РЭС</v>
          </cell>
        </row>
        <row r="132">
          <cell r="D132" t="str">
            <v>Курскэнерго_Горшеченский РЭС</v>
          </cell>
        </row>
        <row r="133">
          <cell r="D133" t="str">
            <v>Курскэнерго_Касторенский РЭС</v>
          </cell>
        </row>
        <row r="134">
          <cell r="D134" t="str">
            <v>Курскэнерго_Мантуровский РЭС</v>
          </cell>
        </row>
        <row r="135">
          <cell r="D135" t="str">
            <v>Курскэнерго_Советский РЭС</v>
          </cell>
        </row>
        <row r="136">
          <cell r="D136" t="str">
            <v>Курскэнерго_Тимский РЭС</v>
          </cell>
        </row>
        <row r="137">
          <cell r="D137" t="str">
            <v>Курскэнерго_Черемисиновский РЭС</v>
          </cell>
        </row>
        <row r="138">
          <cell r="D138" t="str">
            <v>Курскэнерго_Щигровский РЭС</v>
          </cell>
        </row>
        <row r="139">
          <cell r="D139" t="str">
            <v>Курскэнерго_Дмитриевский РЭС</v>
          </cell>
        </row>
        <row r="140">
          <cell r="D140" t="str">
            <v>Курскэнерго_Железногорский РЭС</v>
          </cell>
        </row>
        <row r="141">
          <cell r="D141" t="str">
            <v>Курскэнерго_Фатежский РЭС</v>
          </cell>
        </row>
        <row r="142">
          <cell r="D142" t="str">
            <v>Курскэнерго_Хомутовский РЭС</v>
          </cell>
        </row>
        <row r="143">
          <cell r="D143" t="str">
            <v>Липецкэнерго_Липецкий РЭС</v>
          </cell>
        </row>
        <row r="144">
          <cell r="D144" t="str">
            <v>Липецкэнерго_Грязинский РЭС</v>
          </cell>
        </row>
        <row r="145">
          <cell r="D145" t="str">
            <v>Липецкэнерго_Добровский РЭС</v>
          </cell>
        </row>
        <row r="146">
          <cell r="D146" t="str">
            <v>Липецкэнерго_Добринский РЭС</v>
          </cell>
        </row>
        <row r="147">
          <cell r="D147" t="str">
            <v>Липецкэнерго_Усманский РЭС</v>
          </cell>
        </row>
        <row r="148">
          <cell r="D148" t="str">
            <v>Липецкэнерго_Хлевенский РЭС</v>
          </cell>
        </row>
        <row r="149">
          <cell r="D149" t="str">
            <v>Липецкэнерго_Тербунский РЭС</v>
          </cell>
        </row>
        <row r="150">
          <cell r="D150" t="str">
            <v>Липецкэнерго_Становлянский РЭС</v>
          </cell>
        </row>
        <row r="151">
          <cell r="D151" t="str">
            <v>Липецкэнерго_Измалковский РЭС</v>
          </cell>
        </row>
        <row r="152">
          <cell r="D152" t="str">
            <v>Липецкэнерго_Долгоруковский РЭС</v>
          </cell>
        </row>
        <row r="153">
          <cell r="D153" t="str">
            <v>Липецкэнерго_Воловский РЭС</v>
          </cell>
        </row>
        <row r="154">
          <cell r="D154" t="str">
            <v>Липецкэнерго_Елецкий РЭС</v>
          </cell>
        </row>
        <row r="155">
          <cell r="D155" t="str">
            <v>Липецкэнерго_Задонский РЭС</v>
          </cell>
        </row>
        <row r="156">
          <cell r="D156" t="str">
            <v>Липецкэнерго_Лебедянский РЭС</v>
          </cell>
        </row>
        <row r="157">
          <cell r="D157" t="str">
            <v>Липецкэнерго_Краснинский ЛпЭ РЭС</v>
          </cell>
        </row>
        <row r="158">
          <cell r="D158" t="str">
            <v>Липецкэнерго_Данковский РЭС</v>
          </cell>
        </row>
        <row r="159">
          <cell r="D159" t="str">
            <v>Липецкэнерго_Чаплыгинский РЭС</v>
          </cell>
        </row>
        <row r="160">
          <cell r="D160" t="str">
            <v>Липецкэнерго_ЛевТолстовский РЭС</v>
          </cell>
        </row>
        <row r="161">
          <cell r="D161" t="str">
            <v>Орёлэнерго_Орловский РЭС</v>
          </cell>
        </row>
        <row r="162">
          <cell r="D162" t="str">
            <v>Орёлэнерго_Ливенский РЭС</v>
          </cell>
        </row>
        <row r="163">
          <cell r="D163" t="str">
            <v>Орёлэнерго_Мценский РЭС</v>
          </cell>
        </row>
        <row r="164">
          <cell r="D164" t="str">
            <v>Орёлэнерго_Колпнянский РЭС</v>
          </cell>
        </row>
        <row r="165">
          <cell r="D165" t="str">
            <v>Орёлэнерго_Верховский РЭС</v>
          </cell>
        </row>
        <row r="166">
          <cell r="D166" t="str">
            <v>Орёлэнерго_Покровский РЭС</v>
          </cell>
        </row>
        <row r="167">
          <cell r="D167" t="str">
            <v>Орёлэнерго_Должанский РЭС</v>
          </cell>
        </row>
        <row r="168">
          <cell r="D168" t="str">
            <v>Орёлэнерго_Кромской РЭС</v>
          </cell>
        </row>
        <row r="169">
          <cell r="D169" t="str">
            <v>Орёлэнерго_Болховский РЭС</v>
          </cell>
        </row>
        <row r="170">
          <cell r="D170" t="str">
            <v>Орёлэнерго_Новодеревеньковский РЭС</v>
          </cell>
        </row>
        <row r="171">
          <cell r="D171" t="str">
            <v>Орёлэнерго_Залегощенский РЭС</v>
          </cell>
        </row>
        <row r="172">
          <cell r="D172" t="str">
            <v>Орёлэнерго_Малоархангельский РЭС</v>
          </cell>
        </row>
        <row r="173">
          <cell r="D173" t="str">
            <v>Орёлэнерго_Дмитровский РЭС</v>
          </cell>
        </row>
        <row r="174">
          <cell r="D174" t="str">
            <v>Орёлэнерго_Урицкий РЭС</v>
          </cell>
        </row>
        <row r="175">
          <cell r="D175" t="str">
            <v>Орёлэнерго_Свердловский РЭС</v>
          </cell>
        </row>
        <row r="176">
          <cell r="D176" t="str">
            <v>Орёлэнерго_Краснозоренский РЭС</v>
          </cell>
        </row>
        <row r="177">
          <cell r="D177" t="str">
            <v>Орёлэнерго_Глазуновский РЭС</v>
          </cell>
        </row>
        <row r="178">
          <cell r="D178" t="str">
            <v>Орёлэнерго_Троснянский РЭС</v>
          </cell>
        </row>
        <row r="179">
          <cell r="D179" t="str">
            <v>Орёлэнерго_Хотынецкий РЭС</v>
          </cell>
        </row>
        <row r="180">
          <cell r="D180" t="str">
            <v>Орёлэнерго_Новосильский РЭС</v>
          </cell>
        </row>
        <row r="181">
          <cell r="D181" t="str">
            <v>Орёлэнерго_Сосковский РЭС</v>
          </cell>
        </row>
        <row r="182">
          <cell r="D182" t="str">
            <v>Орёлэнерго_Знаменский РЭС</v>
          </cell>
        </row>
        <row r="183">
          <cell r="D183" t="str">
            <v>Орёлэнерго_Шаблыкинский РЭС</v>
          </cell>
        </row>
        <row r="184">
          <cell r="D184" t="str">
            <v>Орёлэнерго_Корсаковский РЭС</v>
          </cell>
        </row>
        <row r="185">
          <cell r="D185" t="str">
            <v>Смоленскэнерго_Смоленский РЭС</v>
          </cell>
        </row>
        <row r="186">
          <cell r="D186" t="str">
            <v>Смоленскэнерго_Руднянский РЭС</v>
          </cell>
        </row>
        <row r="187">
          <cell r="D187" t="str">
            <v>Смоленскэнерго_Демидовский РЭС</v>
          </cell>
        </row>
        <row r="188">
          <cell r="D188" t="str">
            <v>Смоленскэнерго_Краснинский СмЭ РЭС</v>
          </cell>
        </row>
        <row r="189">
          <cell r="D189" t="str">
            <v>Смоленскэнерго_Велижский РЭС</v>
          </cell>
        </row>
        <row r="190">
          <cell r="D190" t="str">
            <v>Смоленскэнерго_Кардымовский РЭС</v>
          </cell>
        </row>
        <row r="191">
          <cell r="D191" t="str">
            <v>Смоленскэнерго_Касплянский РЭС</v>
          </cell>
        </row>
        <row r="192">
          <cell r="D192" t="str">
            <v>Смоленскэнерго_Сафоновский РЭС</v>
          </cell>
        </row>
        <row r="193">
          <cell r="D193" t="str">
            <v>Смоленскэнерго_Ярцевский РЭС</v>
          </cell>
        </row>
        <row r="194">
          <cell r="D194" t="str">
            <v>Смоленскэнерго_Духовщинский РЭС</v>
          </cell>
        </row>
        <row r="195">
          <cell r="D195" t="str">
            <v>Смоленскэнерго_Дорогобужский РЭС</v>
          </cell>
        </row>
        <row r="196">
          <cell r="D196" t="str">
            <v>Смоленскэнерго_Ельнинский РЭС</v>
          </cell>
        </row>
        <row r="197">
          <cell r="D197" t="str">
            <v>Смоленскэнерго_Холм-Жирковский РЭС</v>
          </cell>
        </row>
        <row r="198">
          <cell r="D198" t="str">
            <v>Смоленскэнерго_Глинковский РЭС</v>
          </cell>
        </row>
        <row r="199">
          <cell r="D199" t="str">
            <v>Смоленскэнерго_Рославльский РЭС</v>
          </cell>
        </row>
        <row r="200">
          <cell r="D200" t="str">
            <v>Смоленскэнерго_Починковский РЭС</v>
          </cell>
        </row>
        <row r="201">
          <cell r="D201" t="str">
            <v>Смоленскэнерго_Монастырщинский РЭС</v>
          </cell>
        </row>
        <row r="202">
          <cell r="D202" t="str">
            <v>Смоленскэнерго_Хиславичский РЭС</v>
          </cell>
        </row>
        <row r="203">
          <cell r="D203" t="str">
            <v>Смоленскэнерго_Шумячский РЭС</v>
          </cell>
        </row>
        <row r="204">
          <cell r="D204" t="str">
            <v>Смоленскэнерго_Ершичский РЭС</v>
          </cell>
        </row>
        <row r="205">
          <cell r="D205" t="str">
            <v>Смоленскэнерго_Вяземский РЭС</v>
          </cell>
        </row>
        <row r="206">
          <cell r="D206" t="str">
            <v>Смоленскэнерго_Гагаринский РЭС</v>
          </cell>
        </row>
        <row r="207">
          <cell r="D207" t="str">
            <v>Смоленскэнерго_Угранский РЭС</v>
          </cell>
        </row>
        <row r="208">
          <cell r="D208" t="str">
            <v>Смоленскэнерго_Сычевский РЭС</v>
          </cell>
        </row>
        <row r="209">
          <cell r="D209" t="str">
            <v>Смоленскэнерго_Новодугинский РЭС</v>
          </cell>
        </row>
        <row r="210">
          <cell r="D210" t="str">
            <v>Смоленскэнерго_Темкинский РЭС</v>
          </cell>
        </row>
        <row r="211">
          <cell r="D211" t="str">
            <v>Смоленскэнерго_Смоленский городской РЭС</v>
          </cell>
        </row>
        <row r="212">
          <cell r="D212" t="str">
            <v>Тамбовэнерго_Рассказовский РЭС</v>
          </cell>
        </row>
        <row r="213">
          <cell r="D213" t="str">
            <v>Тамбовэнерго_Сампурский РЭС</v>
          </cell>
        </row>
        <row r="214">
          <cell r="D214" t="str">
            <v>Тамбовэнерго_Тамбовский РЭС</v>
          </cell>
        </row>
        <row r="215">
          <cell r="D215" t="str">
            <v>Тамбовэнерго_ Мичуринский РЭС</v>
          </cell>
        </row>
        <row r="216">
          <cell r="D216" t="str">
            <v>Тамбовэнерго_Северный РЭС</v>
          </cell>
        </row>
        <row r="217">
          <cell r="D217" t="str">
            <v>Тамбовэнерго_Петровский РЭС</v>
          </cell>
        </row>
        <row r="218">
          <cell r="D218" t="str">
            <v>Тамбовэнерго_Моршанский РЭС</v>
          </cell>
        </row>
        <row r="219">
          <cell r="D219" t="str">
            <v>Тамбовэнерго_Сосновский РЭС</v>
          </cell>
        </row>
        <row r="220">
          <cell r="D220" t="str">
            <v>Тамбовэнерго_Пичаевский РЭС</v>
          </cell>
        </row>
        <row r="221">
          <cell r="D221" t="str">
            <v>Тамбовэнерго_Жердевский РЭС</v>
          </cell>
        </row>
        <row r="222">
          <cell r="D222" t="str">
            <v>Тамбовэнерго_Токаревский  РЭС</v>
          </cell>
        </row>
        <row r="223">
          <cell r="D223" t="str">
            <v>Тамбовэнерго_Мордовский РЭС</v>
          </cell>
        </row>
        <row r="224">
          <cell r="D224" t="str">
            <v>Тамбовэнерго_Ржаксинский РЭС</v>
          </cell>
        </row>
        <row r="225">
          <cell r="D225" t="str">
            <v>Тамбовэнерго_Уваровский РЭС</v>
          </cell>
        </row>
        <row r="226">
          <cell r="D226" t="str">
            <v>Тамбовэнерго_Инжавинский РЭС</v>
          </cell>
        </row>
        <row r="227">
          <cell r="D227" t="str">
            <v>Тамбовэнерго_Кирсановский РЭС</v>
          </cell>
        </row>
        <row r="228">
          <cell r="D228" t="str">
            <v>Тамбовэнерго_Гавриловский РЭС</v>
          </cell>
        </row>
        <row r="229">
          <cell r="D229" t="str">
            <v>Тверьэнерго_Бежецкий РЭС</v>
          </cell>
        </row>
        <row r="230">
          <cell r="D230" t="str">
            <v>Тверьэнерго_Весьегонский РЭС</v>
          </cell>
        </row>
        <row r="231">
          <cell r="D231" t="str">
            <v>Тверьэнерго_Краснохолмский РЭС</v>
          </cell>
        </row>
        <row r="232">
          <cell r="D232" t="str">
            <v>Тверьэнерго_Лесной РЭС</v>
          </cell>
        </row>
        <row r="233">
          <cell r="D233" t="str">
            <v>Тверьэнерго_Максатихинский РЭС</v>
          </cell>
        </row>
        <row r="234">
          <cell r="D234" t="str">
            <v>Тверьэнерго_Молоковский РЭС</v>
          </cell>
        </row>
        <row r="235">
          <cell r="D235" t="str">
            <v>Тверьэнерго_Сандовский РЭС</v>
          </cell>
        </row>
        <row r="236">
          <cell r="D236" t="str">
            <v>Тверьэнерго_Сонковский РЭС</v>
          </cell>
        </row>
        <row r="237">
          <cell r="D237" t="str">
            <v>Тверьэнерго_Бологовский РЭС</v>
          </cell>
        </row>
        <row r="238">
          <cell r="D238" t="str">
            <v>Тверьэнерго_Вышневолоцкий РЭС</v>
          </cell>
        </row>
        <row r="239">
          <cell r="D239" t="str">
            <v>Тверьэнерго_Спировский РЭС</v>
          </cell>
        </row>
        <row r="240">
          <cell r="D240" t="str">
            <v>Тверьэнерго_Удомельский РЭС</v>
          </cell>
        </row>
        <row r="241">
          <cell r="D241" t="str">
            <v>Тверьэнерго_Фировский РЭС</v>
          </cell>
        </row>
        <row r="242">
          <cell r="D242" t="str">
            <v>Тверьэнерго_Кимрский РЭС</v>
          </cell>
        </row>
        <row r="243">
          <cell r="D243" t="str">
            <v>Тверьэнерго_Калязинский РЭС</v>
          </cell>
        </row>
        <row r="244">
          <cell r="D244" t="str">
            <v>Тверьэнерго_Кашинский РЭС</v>
          </cell>
        </row>
        <row r="245">
          <cell r="D245" t="str">
            <v>Тверьэнерго_Кесовогорский РЭС</v>
          </cell>
        </row>
        <row r="246">
          <cell r="D246" t="str">
            <v>Тверьэнерго_Андреапольский РЭС</v>
          </cell>
        </row>
        <row r="247">
          <cell r="D247" t="str">
            <v>Тверьэнерго_Бельский РЭС</v>
          </cell>
        </row>
        <row r="248">
          <cell r="D248" t="str">
            <v>Тверьэнерго_Западнодвинский РЭС</v>
          </cell>
        </row>
        <row r="249">
          <cell r="D249" t="str">
            <v>Тверьэнерго_Нелидовский РЭС</v>
          </cell>
        </row>
        <row r="250">
          <cell r="D250" t="str">
            <v>Тверьэнерго_Торопецкий РЭС</v>
          </cell>
        </row>
        <row r="251">
          <cell r="D251" t="str">
            <v>Тверьэнерго_Жарковский РЭС</v>
          </cell>
        </row>
        <row r="252">
          <cell r="D252" t="str">
            <v>Тверьэнерго_Ржевский РЭС</v>
          </cell>
        </row>
        <row r="253">
          <cell r="D253" t="str">
            <v>Тверьэнерго_Старицкий РЭС</v>
          </cell>
        </row>
        <row r="254">
          <cell r="D254" t="str">
            <v>Тверьэнерго_Зубцовский РЭС</v>
          </cell>
        </row>
        <row r="255">
          <cell r="D255" t="str">
            <v>Тверьэнерго_Оленинский РЭС</v>
          </cell>
        </row>
        <row r="256">
          <cell r="D256" t="str">
            <v>Тверьэнерго_Калининский РЭС</v>
          </cell>
        </row>
        <row r="257">
          <cell r="D257" t="str">
            <v>Тверьэнерго_Конаковский РЭС</v>
          </cell>
        </row>
        <row r="258">
          <cell r="D258" t="str">
            <v>Тверьэнерго_Лихославльский РЭС</v>
          </cell>
        </row>
        <row r="259">
          <cell r="D259" t="str">
            <v>Тверьэнерго_Рамешковский РЭС</v>
          </cell>
        </row>
        <row r="260">
          <cell r="D260" t="str">
            <v>Тверьэнерго_Торжокский РЭС</v>
          </cell>
        </row>
        <row r="261">
          <cell r="D261" t="str">
            <v>Тверьэнерго_Торжокский ГРЭС</v>
          </cell>
        </row>
        <row r="262">
          <cell r="D262" t="str">
            <v>Тверьэнерго_Селижаровский РЭС</v>
          </cell>
        </row>
        <row r="263">
          <cell r="D263" t="str">
            <v>Тверьэнерго_Осташковский РЭС</v>
          </cell>
        </row>
        <row r="264">
          <cell r="D264" t="str">
            <v>Тверьэнерго_Кувшиновский РЭС</v>
          </cell>
        </row>
        <row r="265">
          <cell r="D265" t="str">
            <v>Тверьэнерго_Пеновский РЭС</v>
          </cell>
        </row>
        <row r="266">
          <cell r="D266" t="str">
            <v>Ярэнерго_Ярославский РЭС</v>
          </cell>
        </row>
        <row r="267">
          <cell r="D267" t="str">
            <v>Ярэнерго_Некрасовский РЭС</v>
          </cell>
        </row>
        <row r="268">
          <cell r="D268" t="str">
            <v>Ярэнерго_Даниловский РЭС</v>
          </cell>
        </row>
        <row r="269">
          <cell r="D269" t="str">
            <v>Ярэнерго_Любимский РЭС</v>
          </cell>
        </row>
        <row r="270">
          <cell r="D270" t="str">
            <v>Ярэнерго_Первомайский РЭС</v>
          </cell>
        </row>
        <row r="271">
          <cell r="D271" t="str">
            <v>Ярэнерго_Тутаевский РЭС</v>
          </cell>
        </row>
        <row r="272">
          <cell r="D272" t="str">
            <v>Ярэнерго_Рыбинский РЭС</v>
          </cell>
        </row>
        <row r="273">
          <cell r="D273" t="str">
            <v>Ярэнерго_Некоузский РЭС</v>
          </cell>
        </row>
        <row r="274">
          <cell r="D274" t="str">
            <v>Ярэнерго_Мышкинский РЭС</v>
          </cell>
        </row>
        <row r="275">
          <cell r="D275" t="str">
            <v>Ярэнерго_Брейтовский РЭС</v>
          </cell>
        </row>
        <row r="276">
          <cell r="D276" t="str">
            <v>Ярэнерго_Пошехонский РЭС</v>
          </cell>
        </row>
        <row r="277">
          <cell r="D277" t="str">
            <v>Ярэнерго_Большесельский РЭС</v>
          </cell>
        </row>
        <row r="278">
          <cell r="D278" t="str">
            <v>Ярэнерго_Ростовский РЭС</v>
          </cell>
        </row>
        <row r="279">
          <cell r="D279" t="str">
            <v>Ярэнерго_Угличский РЭС</v>
          </cell>
        </row>
        <row r="280">
          <cell r="D280" t="str">
            <v>Ярэнерго_Борисоглебский ЯрЭ РЭС</v>
          </cell>
        </row>
        <row r="281">
          <cell r="D281" t="str">
            <v>Ярэнерго_Гаврилов-Ямский РЭС</v>
          </cell>
        </row>
        <row r="282">
          <cell r="D282" t="str">
            <v>Ярэнерго_Переславский РЭС</v>
          </cell>
        </row>
        <row r="283">
          <cell r="D283" t="str">
            <v>Ярэнерго_Городской РЭС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"/>
      <sheetName val="Приложение 26"/>
      <sheetName val="Лист1"/>
      <sheetName val="Лист3"/>
    </sheetNames>
    <sheetDataSet>
      <sheetData sheetId="0" refreshError="1"/>
      <sheetData sheetId="1"/>
      <sheetData sheetId="2" refreshError="1"/>
      <sheetData sheetId="3">
        <row r="1">
          <cell r="A1" t="str">
            <v xml:space="preserve">Тамбовский </v>
          </cell>
        </row>
        <row r="2">
          <cell r="A2" t="str">
            <v>Рассказовский</v>
          </cell>
        </row>
        <row r="3">
          <cell r="A3" t="str">
            <v>Моршанский</v>
          </cell>
        </row>
        <row r="4">
          <cell r="A4" t="str">
            <v xml:space="preserve">Сосновский </v>
          </cell>
        </row>
        <row r="5">
          <cell r="A5" t="str">
            <v>Пичаевский</v>
          </cell>
        </row>
        <row r="6">
          <cell r="A6" t="str">
            <v xml:space="preserve">Жердевский </v>
          </cell>
        </row>
        <row r="7">
          <cell r="A7" t="str">
            <v xml:space="preserve">Уваровский </v>
          </cell>
        </row>
        <row r="8">
          <cell r="A8" t="str">
            <v>Ржаксинский</v>
          </cell>
        </row>
        <row r="9">
          <cell r="A9" t="str">
            <v>Мордовский</v>
          </cell>
        </row>
        <row r="10">
          <cell r="A10" t="str">
            <v>Мичуринский</v>
          </cell>
        </row>
        <row r="11">
          <cell r="A11" t="str">
            <v>Северный</v>
          </cell>
        </row>
        <row r="12">
          <cell r="A12" t="str">
            <v>Петровский</v>
          </cell>
        </row>
        <row r="13">
          <cell r="A13" t="str">
            <v>Кирсановский</v>
          </cell>
        </row>
        <row r="14">
          <cell r="A14" t="str">
            <v>Гавриловский</v>
          </cell>
        </row>
        <row r="15">
          <cell r="A15" t="str">
            <v>Инжавинский</v>
          </cell>
        </row>
        <row r="16">
          <cell r="A16" t="str">
            <v>Токаревский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 "/>
      <sheetName val="Приложение 26"/>
      <sheetName val="Лист1"/>
      <sheetName val="Лист3"/>
    </sheetNames>
    <sheetDataSet>
      <sheetData sheetId="0" refreshError="1"/>
      <sheetData sheetId="1"/>
      <sheetData sheetId="2" refreshError="1"/>
      <sheetData sheetId="3">
        <row r="1">
          <cell r="A1" t="str">
            <v xml:space="preserve">Тамбовский </v>
          </cell>
        </row>
        <row r="2">
          <cell r="A2" t="str">
            <v>Рассказовский</v>
          </cell>
        </row>
        <row r="3">
          <cell r="A3" t="str">
            <v>Моршанский</v>
          </cell>
        </row>
        <row r="4">
          <cell r="A4" t="str">
            <v xml:space="preserve">Сосновский </v>
          </cell>
        </row>
        <row r="5">
          <cell r="A5" t="str">
            <v>Пичаевский</v>
          </cell>
        </row>
        <row r="6">
          <cell r="A6" t="str">
            <v xml:space="preserve">Жердевский </v>
          </cell>
        </row>
        <row r="7">
          <cell r="A7" t="str">
            <v xml:space="preserve">Уваровский </v>
          </cell>
        </row>
        <row r="8">
          <cell r="A8" t="str">
            <v>Ржаксинский</v>
          </cell>
        </row>
        <row r="9">
          <cell r="A9" t="str">
            <v>Мордовский</v>
          </cell>
        </row>
        <row r="10">
          <cell r="A10" t="str">
            <v>Мичуринский</v>
          </cell>
        </row>
        <row r="11">
          <cell r="A11" t="str">
            <v>Северный</v>
          </cell>
        </row>
        <row r="12">
          <cell r="A12" t="str">
            <v>Петровский</v>
          </cell>
        </row>
        <row r="13">
          <cell r="A13" t="str">
            <v>Кирсановский</v>
          </cell>
        </row>
        <row r="14">
          <cell r="A14" t="str">
            <v>Гавриловский</v>
          </cell>
        </row>
        <row r="15">
          <cell r="A15" t="str">
            <v>Инжавинский</v>
          </cell>
        </row>
        <row r="16">
          <cell r="A16" t="str">
            <v>Токаревский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 2014"/>
      <sheetName val="Приложение №1 2015"/>
      <sheetName val="Приложение №1 2016"/>
      <sheetName val="Приложение № 1 2017"/>
      <sheetName val="Приложение №1 2018"/>
      <sheetName val="Приложение №1 2019"/>
      <sheetName val="20"/>
      <sheetName val="08"/>
      <sheetName val="Приложение №1 2020"/>
      <sheetName val="Приложение №1 2021"/>
      <sheetName val="Приложение № 2"/>
      <sheetName val="Приложение № 3"/>
      <sheetName val="Себестоимость_2018"/>
      <sheetName val="ФОТ_2018"/>
      <sheetName val="Себестоимость_2020"/>
      <sheetName val="ФОТ_2020"/>
      <sheetName val="Себестоимость_2019"/>
      <sheetName val="Расходы по 08_льготное ТП"/>
      <sheetName val="ФОТ_2019"/>
      <sheetName val="Приложение №4 2019"/>
      <sheetName val="Приложение № 4 2017"/>
      <sheetName val="Приложение № 5 2014"/>
      <sheetName val="Приложение № 5 2015"/>
      <sheetName val="Приложение № 5 2016"/>
      <sheetName val="Себестоимость_2021"/>
      <sheetName val="ФОТ_2021"/>
      <sheetName val="Приложение №4 2020"/>
      <sheetName val="Приложение № 5 2017"/>
      <sheetName val="Приложение №5 2018"/>
      <sheetName val="Приложение №4 2021"/>
      <sheetName val="Приложение №5 2019"/>
      <sheetName val="Приложение №5 2020"/>
      <sheetName val="Приложение №5 20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1">
          <cell r="J11">
            <v>2909492.9710056866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Исполненные до 15(550р)"/>
      <sheetName val="2.Заключенные до 150(рассрочка)"/>
      <sheetName val="3.Исполненные до 150(тариф)"/>
      <sheetName val="4.ВД до 15"/>
      <sheetName val="5.ВД по рассрочке"/>
      <sheetName val="6.ВД до 150"/>
      <sheetName val="7.Исполненные свыше 150(тариф)"/>
      <sheetName val="Лист1"/>
      <sheetName val="Лист2"/>
    </sheetNames>
    <sheetDataSet>
      <sheetData sheetId="0" refreshError="1"/>
      <sheetData sheetId="1" refreshError="1"/>
      <sheetData sheetId="2">
        <row r="5">
          <cell r="G5">
            <v>939.90333333333285</v>
          </cell>
        </row>
      </sheetData>
      <sheetData sheetId="3">
        <row r="21">
          <cell r="D21">
            <v>249</v>
          </cell>
          <cell r="E21">
            <v>2953.1284800000049</v>
          </cell>
        </row>
      </sheetData>
      <sheetData sheetId="4" refreshError="1"/>
      <sheetData sheetId="5">
        <row r="17">
          <cell r="D17">
            <v>13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ожение №1 2014"/>
      <sheetName val="Приложение №1 2015"/>
      <sheetName val="Приложение №1 2016"/>
      <sheetName val="Приложение № 1 2017"/>
      <sheetName val="Приложение №1 2018"/>
      <sheetName val="Приложение №1 2019"/>
      <sheetName val="20"/>
      <sheetName val="08"/>
      <sheetName val="Приложение №1 2020"/>
      <sheetName val="Приложение № 2"/>
      <sheetName val="Приложение № 3"/>
      <sheetName val="Себестоимость_2018"/>
      <sheetName val="ФОТ_2018"/>
      <sheetName val="Себестоимость_2020"/>
      <sheetName val="ФОТ_2020"/>
      <sheetName val="Себестоимость_2019"/>
      <sheetName val="Расходы по 08_льготное ТП"/>
      <sheetName val="ФОТ_2019"/>
      <sheetName val="Приложение №4 2019"/>
      <sheetName val="Приложение № 4 2017"/>
      <sheetName val="Приложение № 5 2014"/>
      <sheetName val="Приложение № 5 2015"/>
      <sheetName val="Приложение № 5 2016"/>
      <sheetName val="Приложение №4 2020"/>
      <sheetName val="Приложение № 5 2017"/>
      <sheetName val="Приложение №5 2018"/>
      <sheetName val="Приложение №5 2019"/>
      <sheetName val="Приложение №5 20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9">
          <cell r="G9">
            <v>1386.4901491263943</v>
          </cell>
        </row>
        <row r="10">
          <cell r="G10">
            <v>2157.1806673978385</v>
          </cell>
        </row>
        <row r="11">
          <cell r="G11">
            <v>279.73558999999995</v>
          </cell>
        </row>
        <row r="13">
          <cell r="G13">
            <v>59.83729743612205</v>
          </cell>
        </row>
        <row r="14">
          <cell r="G14">
            <v>637.06928097228695</v>
          </cell>
        </row>
        <row r="15">
          <cell r="G15">
            <v>2062.0546932039761</v>
          </cell>
        </row>
        <row r="17">
          <cell r="G17">
            <v>235.80826666666667</v>
          </cell>
        </row>
        <row r="18">
          <cell r="G18">
            <v>805.88553000000002</v>
          </cell>
        </row>
        <row r="22">
          <cell r="G22" t="str">
            <v>-</v>
          </cell>
        </row>
        <row r="23">
          <cell r="G23">
            <v>126.62131000000001</v>
          </cell>
        </row>
        <row r="25">
          <cell r="G25" t="str">
            <v>-</v>
          </cell>
        </row>
        <row r="26">
          <cell r="G26">
            <v>2539.3342900000002</v>
          </cell>
        </row>
        <row r="27">
          <cell r="G27">
            <v>1450.9763</v>
          </cell>
        </row>
      </sheetData>
      <sheetData sheetId="9">
        <row r="57">
          <cell r="C57">
            <v>2017951.01544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46"/>
  <sheetViews>
    <sheetView view="pageBreakPreview" zoomScale="60" zoomScaleNormal="70" workbookViewId="0">
      <pane xSplit="2" ySplit="10" topLeftCell="C38" activePane="bottomRight" state="frozen"/>
      <selection pane="topRight" activeCell="C1" sqref="C1"/>
      <selection pane="bottomLeft" activeCell="A5" sqref="A5"/>
      <selection pane="bottomRight" activeCell="R18" sqref="R18"/>
    </sheetView>
  </sheetViews>
  <sheetFormatPr defaultRowHeight="15"/>
  <cols>
    <col min="1" max="1" width="12.42578125" bestFit="1" customWidth="1"/>
    <col min="2" max="2" width="44.7109375" customWidth="1"/>
    <col min="3" max="14" width="17.5703125" customWidth="1"/>
    <col min="15" max="15" width="26.28515625" customWidth="1"/>
    <col min="16" max="16" width="13.7109375" bestFit="1" customWidth="1"/>
    <col min="17" max="18" width="15.140625" customWidth="1"/>
  </cols>
  <sheetData>
    <row r="3" spans="1:18" ht="37.5" customHeight="1">
      <c r="B3" s="287" t="s">
        <v>37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6" spans="1:18">
      <c r="F6" s="128"/>
      <c r="G6" s="128"/>
      <c r="N6" t="s">
        <v>44</v>
      </c>
    </row>
    <row r="7" spans="1:18" ht="49.5" customHeight="1">
      <c r="A7" s="276" t="s">
        <v>24</v>
      </c>
      <c r="B7" s="276" t="s">
        <v>1</v>
      </c>
      <c r="C7" s="283" t="s">
        <v>2</v>
      </c>
      <c r="D7" s="284"/>
      <c r="E7" s="280" t="s">
        <v>539</v>
      </c>
      <c r="F7" s="281"/>
      <c r="G7" s="282"/>
      <c r="H7" s="20"/>
      <c r="I7" s="283" t="s">
        <v>540</v>
      </c>
      <c r="J7" s="284"/>
      <c r="K7" s="285"/>
      <c r="L7" s="286" t="s">
        <v>541</v>
      </c>
      <c r="M7" s="286"/>
      <c r="N7" s="286"/>
    </row>
    <row r="8" spans="1:18" ht="18.75" customHeight="1">
      <c r="A8" s="276"/>
      <c r="B8" s="276"/>
      <c r="C8" s="221">
        <v>2019</v>
      </c>
      <c r="D8" s="1">
        <v>2020</v>
      </c>
      <c r="E8" s="290" t="s">
        <v>3</v>
      </c>
      <c r="F8" s="291"/>
      <c r="G8" s="291"/>
      <c r="H8" s="19"/>
      <c r="I8" s="290" t="s">
        <v>3</v>
      </c>
      <c r="J8" s="291"/>
      <c r="K8" s="291"/>
      <c r="L8" s="278" t="s">
        <v>3</v>
      </c>
      <c r="M8" s="279"/>
      <c r="N8" s="279"/>
    </row>
    <row r="9" spans="1:18" ht="15" customHeight="1">
      <c r="A9" s="276"/>
      <c r="B9" s="276"/>
      <c r="C9" s="288" t="s">
        <v>101</v>
      </c>
      <c r="D9" s="288" t="s">
        <v>101</v>
      </c>
      <c r="E9" s="288" t="s">
        <v>25</v>
      </c>
      <c r="F9" s="288" t="s">
        <v>101</v>
      </c>
      <c r="G9" s="288" t="s">
        <v>60</v>
      </c>
      <c r="H9" s="21"/>
      <c r="I9" s="276" t="s">
        <v>27</v>
      </c>
      <c r="J9" s="288" t="s">
        <v>26</v>
      </c>
      <c r="K9" s="288" t="s">
        <v>28</v>
      </c>
      <c r="L9" s="276" t="s">
        <v>27</v>
      </c>
      <c r="M9" s="276" t="s">
        <v>26</v>
      </c>
      <c r="N9" s="276" t="s">
        <v>28</v>
      </c>
    </row>
    <row r="10" spans="1:18" ht="108.75" customHeight="1">
      <c r="A10" s="276"/>
      <c r="B10" s="276"/>
      <c r="C10" s="289" t="s">
        <v>12</v>
      </c>
      <c r="D10" s="289" t="s">
        <v>12</v>
      </c>
      <c r="E10" s="289"/>
      <c r="F10" s="289" t="s">
        <v>12</v>
      </c>
      <c r="G10" s="289" t="s">
        <v>13</v>
      </c>
      <c r="H10" s="288" t="s">
        <v>38</v>
      </c>
      <c r="I10" s="276"/>
      <c r="J10" s="289" t="s">
        <v>12</v>
      </c>
      <c r="K10" s="289" t="s">
        <v>13</v>
      </c>
      <c r="L10" s="276"/>
      <c r="M10" s="277" t="s">
        <v>12</v>
      </c>
      <c r="N10" s="277" t="s">
        <v>13</v>
      </c>
      <c r="O10" s="276" t="s">
        <v>105</v>
      </c>
    </row>
    <row r="11" spans="1:18" ht="15.75">
      <c r="A11" s="14">
        <v>1</v>
      </c>
      <c r="B11" s="14">
        <v>2</v>
      </c>
      <c r="C11" s="220">
        <v>4</v>
      </c>
      <c r="D11" s="14">
        <v>4</v>
      </c>
      <c r="E11" s="14">
        <v>6</v>
      </c>
      <c r="F11" s="14">
        <v>7</v>
      </c>
      <c r="G11" s="14">
        <v>8</v>
      </c>
      <c r="H11" s="289"/>
      <c r="I11" s="14">
        <v>12</v>
      </c>
      <c r="J11" s="14">
        <v>13</v>
      </c>
      <c r="K11" s="14">
        <v>14</v>
      </c>
      <c r="L11" s="14">
        <v>9</v>
      </c>
      <c r="M11" s="14">
        <v>10</v>
      </c>
      <c r="N11" s="14">
        <v>11</v>
      </c>
      <c r="O11" s="277"/>
    </row>
    <row r="12" spans="1:18" ht="95.25" customHeight="1">
      <c r="A12" s="5" t="s">
        <v>14</v>
      </c>
      <c r="B12" s="5" t="s">
        <v>29</v>
      </c>
      <c r="C12" s="35" t="s">
        <v>15</v>
      </c>
      <c r="D12" s="35" t="s">
        <v>15</v>
      </c>
      <c r="E12" s="17">
        <f>E13+E14+E15+E16</f>
        <v>8465.4156889359419</v>
      </c>
      <c r="F12" s="35" t="s">
        <v>15</v>
      </c>
      <c r="G12" s="17">
        <f>G13+G14+G15+G16</f>
        <v>2319.5238987684479</v>
      </c>
      <c r="H12" s="17">
        <f>H13+H14+H15+H16</f>
        <v>2319.5238987684479</v>
      </c>
      <c r="I12" s="17">
        <f>I13+I14+I15+I16</f>
        <v>14879.849999999999</v>
      </c>
      <c r="J12" s="17" t="s">
        <v>15</v>
      </c>
      <c r="K12" s="17">
        <f>K13+K14+K15+K16</f>
        <v>4077.0788999999995</v>
      </c>
      <c r="L12" s="6">
        <f>L13+L14+L15+L16</f>
        <v>15475.044</v>
      </c>
      <c r="M12" s="6" t="s">
        <v>15</v>
      </c>
      <c r="N12" s="6">
        <f>N13+N14+N15+N16</f>
        <v>3254.9175880000003</v>
      </c>
      <c r="O12" s="46"/>
    </row>
    <row r="13" spans="1:18" ht="63">
      <c r="A13" s="9" t="s">
        <v>16</v>
      </c>
      <c r="B13" s="9" t="s">
        <v>30</v>
      </c>
      <c r="C13" s="45">
        <v>168</v>
      </c>
      <c r="D13" s="45">
        <v>189</v>
      </c>
      <c r="E13" s="18">
        <f>G13/F13*1000</f>
        <v>3810.9148247333183</v>
      </c>
      <c r="F13" s="45">
        <v>274</v>
      </c>
      <c r="G13" s="36">
        <v>1044.1906619769293</v>
      </c>
      <c r="H13" s="36">
        <v>1044.1906619769293</v>
      </c>
      <c r="I13" s="36">
        <v>6698.53</v>
      </c>
      <c r="J13" s="45">
        <f>F13</f>
        <v>274</v>
      </c>
      <c r="K13" s="36">
        <f>I13*J13/1000</f>
        <v>1835.3972200000001</v>
      </c>
      <c r="L13" s="12">
        <f>I13*1.04</f>
        <v>6966.4712</v>
      </c>
      <c r="M13" s="45">
        <f>AVERAGE(C13,D13,F13)</f>
        <v>210.33333333333334</v>
      </c>
      <c r="N13" s="134">
        <f>L13*M13/1000</f>
        <v>1465.2811090666669</v>
      </c>
      <c r="O13" s="120"/>
      <c r="P13">
        <f>I13/(I13+I14)</f>
        <v>0.45017456493177016</v>
      </c>
      <c r="Q13" s="135">
        <f>[7]Себестоимость_2021!$J$11/354*274</f>
        <v>2251980.4351851922</v>
      </c>
      <c r="R13" s="135">
        <f>P13*Q13/1000</f>
        <v>1013.7843126443523</v>
      </c>
    </row>
    <row r="14" spans="1:18" ht="47.25" customHeight="1">
      <c r="A14" s="9" t="s">
        <v>17</v>
      </c>
      <c r="B14" s="9" t="s">
        <v>31</v>
      </c>
      <c r="C14" s="45">
        <v>168</v>
      </c>
      <c r="D14" s="45">
        <v>189</v>
      </c>
      <c r="E14" s="18">
        <f>G14/F14*1000</f>
        <v>4654.5008642026241</v>
      </c>
      <c r="F14" s="45">
        <v>274</v>
      </c>
      <c r="G14" s="36">
        <v>1275.3332367915189</v>
      </c>
      <c r="H14" s="36">
        <v>1275.3332367915189</v>
      </c>
      <c r="I14" s="36">
        <v>8181.32</v>
      </c>
      <c r="J14" s="45">
        <f t="shared" ref="J14" si="0">F14</f>
        <v>274</v>
      </c>
      <c r="K14" s="36">
        <f>I14*J14/1000</f>
        <v>2241.6816799999997</v>
      </c>
      <c r="L14" s="12">
        <f>I14*1.04</f>
        <v>8508.5727999999999</v>
      </c>
      <c r="M14" s="45">
        <f>AVERAGE(C14,D14,F14)</f>
        <v>210.33333333333334</v>
      </c>
      <c r="N14" s="134">
        <f>L14*M14/1000</f>
        <v>1789.6364789333334</v>
      </c>
      <c r="O14" s="120"/>
      <c r="P14" s="136">
        <f>I14/(I13+I14)</f>
        <v>0.5498254350682299</v>
      </c>
      <c r="Q14" s="136"/>
      <c r="R14" s="135">
        <f>P14*Q13/1000</f>
        <v>1238.19612254084</v>
      </c>
    </row>
    <row r="15" spans="1:18" ht="110.25" hidden="1" customHeight="1">
      <c r="A15" s="9" t="s">
        <v>18</v>
      </c>
      <c r="B15" s="9" t="s">
        <v>32</v>
      </c>
      <c r="C15" s="36"/>
      <c r="D15" s="36"/>
      <c r="E15" s="18"/>
      <c r="F15" s="36"/>
      <c r="G15" s="36"/>
      <c r="H15" s="18"/>
      <c r="I15" s="18"/>
      <c r="J15" s="18"/>
      <c r="K15" s="18"/>
      <c r="L15" s="10"/>
      <c r="M15" s="16"/>
      <c r="N15" s="15"/>
      <c r="O15" s="46"/>
    </row>
    <row r="16" spans="1:18" ht="110.25" hidden="1" customHeight="1">
      <c r="A16" s="9" t="s">
        <v>20</v>
      </c>
      <c r="B16" s="9" t="s">
        <v>33</v>
      </c>
      <c r="C16" s="36"/>
      <c r="D16" s="36"/>
      <c r="E16" s="18"/>
      <c r="F16" s="36"/>
      <c r="G16" s="36"/>
      <c r="H16" s="18"/>
      <c r="I16" s="18"/>
      <c r="J16" s="18"/>
      <c r="K16" s="18"/>
      <c r="L16" s="10"/>
      <c r="M16" s="10"/>
      <c r="N16" s="15"/>
      <c r="O16" s="46"/>
    </row>
    <row r="17" spans="1:17" ht="47.25">
      <c r="A17" s="5" t="s">
        <v>21</v>
      </c>
      <c r="B17" s="5" t="s">
        <v>45</v>
      </c>
      <c r="C17" s="17">
        <v>5.9981</v>
      </c>
      <c r="D17" s="17">
        <v>3.7601</v>
      </c>
      <c r="E17" s="17">
        <f>E18+E22+E29+E33+E34</f>
        <v>1610624.6348697268</v>
      </c>
      <c r="F17" s="17">
        <f>F18+F22+F29+F33+F34</f>
        <v>4.6010999999999997</v>
      </c>
      <c r="G17" s="17">
        <f>G18+G22</f>
        <v>2648.5340200000001</v>
      </c>
      <c r="H17" s="17">
        <f>H18+H22</f>
        <v>2648.5340200000001</v>
      </c>
      <c r="I17" s="17">
        <f t="shared" ref="I17:N17" si="1">I18+I22+I29+I33+I34</f>
        <v>4118304.4646666665</v>
      </c>
      <c r="J17" s="17">
        <f t="shared" si="1"/>
        <v>4.6010999999999997</v>
      </c>
      <c r="K17" s="17">
        <f t="shared" si="1"/>
        <v>6378.4036032399999</v>
      </c>
      <c r="L17" s="6">
        <f>L18+L22+L29+L33+L34</f>
        <v>3878441.102293334</v>
      </c>
      <c r="M17" s="6">
        <f>M18+M22+M29+M33+M34</f>
        <v>5.1684333333333328</v>
      </c>
      <c r="N17" s="6">
        <f t="shared" si="1"/>
        <v>8565.3848655959991</v>
      </c>
      <c r="O17" s="46"/>
    </row>
    <row r="18" spans="1:17" ht="15.75">
      <c r="A18" s="33" t="s">
        <v>22</v>
      </c>
      <c r="B18" s="33" t="s">
        <v>46</v>
      </c>
      <c r="C18" s="39">
        <v>5.3580000000000005</v>
      </c>
      <c r="D18" s="39">
        <v>3.702</v>
      </c>
      <c r="E18" s="39">
        <f>AVERAGE(E19:E21)</f>
        <v>575304.87530794367</v>
      </c>
      <c r="F18" s="39">
        <f>SUM(F19:F21)</f>
        <v>4.3629999999999995</v>
      </c>
      <c r="G18" s="39">
        <f>SUM(G19:G21)</f>
        <v>2446.004444461958</v>
      </c>
      <c r="H18" s="39">
        <f>G18</f>
        <v>2446.004444461958</v>
      </c>
      <c r="I18" s="39">
        <f>AVERAGE(I19:I21)</f>
        <v>1535023.4366666668</v>
      </c>
      <c r="J18" s="39">
        <f>SUM(J19:J21)</f>
        <v>4.3629999999999995</v>
      </c>
      <c r="K18" s="39">
        <f>SUM(K19:K21)</f>
        <v>5826.7711306800002</v>
      </c>
      <c r="L18" s="39">
        <f>AVERAGE(L19:L21)</f>
        <v>1596424.3741333336</v>
      </c>
      <c r="M18" s="39">
        <f>SUM(M19:M21)</f>
        <v>4.4943333333333335</v>
      </c>
      <c r="N18" s="39">
        <f>SUM(N19:N21)</f>
        <v>6443.7545536624002</v>
      </c>
      <c r="O18" s="46"/>
    </row>
    <row r="19" spans="1:17" ht="47.25">
      <c r="A19" s="9" t="s">
        <v>48</v>
      </c>
      <c r="B19" s="9" t="str">
        <f>'до 150 кВт_2021'!B13</f>
        <v>строительство воздушных линий, на уровне напряжения 0,4-1кВ (СИП до 50 мм)</v>
      </c>
      <c r="C19" s="41">
        <v>1.5110000000000003</v>
      </c>
      <c r="D19" s="41">
        <v>1.492</v>
      </c>
      <c r="E19" s="18">
        <f t="shared" ref="E19:E20" si="2">G19/F19*1000</f>
        <v>510146.45566745516</v>
      </c>
      <c r="F19" s="41">
        <f>'20_2021'!L40+'08_2021'!O122</f>
        <v>2.673</v>
      </c>
      <c r="G19" s="36">
        <f>('20_2021'!M40+'08_2021'!P122)/1000</f>
        <v>1363.6214759991076</v>
      </c>
      <c r="H19" s="18">
        <f t="shared" ref="H19:H21" si="3">G19</f>
        <v>1363.6214759991076</v>
      </c>
      <c r="I19" s="18">
        <v>1254076.3600000001</v>
      </c>
      <c r="J19" s="18">
        <f>F19</f>
        <v>2.673</v>
      </c>
      <c r="K19" s="18">
        <f>I19*J19/1000</f>
        <v>3352.1461102800004</v>
      </c>
      <c r="L19" s="10">
        <f>I19*1.04</f>
        <v>1304239.4144000001</v>
      </c>
      <c r="M19" s="36">
        <f>AVERAGE(C19,D19,F19)</f>
        <v>1.8920000000000001</v>
      </c>
      <c r="N19" s="10">
        <f t="shared" ref="N19:N20" si="4">L19*M19/1000</f>
        <v>2467.6209720448005</v>
      </c>
      <c r="O19" s="47">
        <f>I19-E19</f>
        <v>743929.90433254489</v>
      </c>
      <c r="P19" s="128">
        <f>G19+'до 150 кВт_2021'!G13</f>
        <v>1900.9017940545723</v>
      </c>
      <c r="Q19">
        <f>'20_2021'!O40+'08_2021'!Q122</f>
        <v>375</v>
      </c>
    </row>
    <row r="20" spans="1:17" ht="47.25">
      <c r="A20" s="27" t="s">
        <v>49</v>
      </c>
      <c r="B20" s="9" t="s">
        <v>47</v>
      </c>
      <c r="C20" s="36">
        <v>3.8170000000000002</v>
      </c>
      <c r="D20" s="36">
        <v>2.21</v>
      </c>
      <c r="E20" s="18">
        <f t="shared" si="2"/>
        <v>640463.29494843213</v>
      </c>
      <c r="F20" s="41">
        <f>'08_2021'!O123</f>
        <v>1.69</v>
      </c>
      <c r="G20" s="36">
        <f>'08_2021'!P123/1000</f>
        <v>1082.3829684628502</v>
      </c>
      <c r="H20" s="18">
        <f t="shared" si="3"/>
        <v>1082.3829684628502</v>
      </c>
      <c r="I20" s="18">
        <v>1464275.16</v>
      </c>
      <c r="J20" s="18">
        <f t="shared" ref="J20" si="5">F20</f>
        <v>1.69</v>
      </c>
      <c r="K20" s="18">
        <f t="shared" ref="K20:K28" si="6">I20*J20/1000</f>
        <v>2474.6250203999998</v>
      </c>
      <c r="L20" s="10">
        <f t="shared" ref="L20:L27" si="7">I20*1.04</f>
        <v>1522846.1664</v>
      </c>
      <c r="M20" s="36">
        <f t="shared" ref="M20" si="8">AVERAGE(C20,D20,F20)</f>
        <v>2.5723333333333334</v>
      </c>
      <c r="N20" s="10">
        <f t="shared" si="4"/>
        <v>3917.2679553696003</v>
      </c>
      <c r="O20" s="47">
        <f t="shared" ref="O20:O21" si="9">I20-E20</f>
        <v>823811.86505156779</v>
      </c>
      <c r="P20" s="128">
        <f>H20+'до 150 кВт_2021'!G14</f>
        <v>3867.1388617417988</v>
      </c>
      <c r="Q20">
        <f>'08_2021'!Q123</f>
        <v>95</v>
      </c>
    </row>
    <row r="21" spans="1:17" ht="47.25">
      <c r="A21" s="9" t="s">
        <v>49</v>
      </c>
      <c r="B21" s="9" t="s">
        <v>52</v>
      </c>
      <c r="C21" s="36">
        <v>0.03</v>
      </c>
      <c r="D21" s="36"/>
      <c r="E21" s="18"/>
      <c r="F21" s="36"/>
      <c r="G21" s="36"/>
      <c r="H21" s="18">
        <f t="shared" si="3"/>
        <v>0</v>
      </c>
      <c r="I21" s="18">
        <v>1886718.79</v>
      </c>
      <c r="J21" s="18">
        <f t="shared" ref="J21" si="10">F21</f>
        <v>0</v>
      </c>
      <c r="K21" s="18">
        <f t="shared" ref="K21" si="11">I21*J21/1000</f>
        <v>0</v>
      </c>
      <c r="L21" s="10">
        <f t="shared" si="7"/>
        <v>1962187.5416000001</v>
      </c>
      <c r="M21" s="36">
        <f t="shared" ref="M21" si="12">AVERAGE(C21,D21,F21)</f>
        <v>0.03</v>
      </c>
      <c r="N21" s="10">
        <f t="shared" ref="N21" si="13">L21*M21/1000</f>
        <v>58.865626247999998</v>
      </c>
      <c r="O21" s="47">
        <f t="shared" si="9"/>
        <v>1886718.79</v>
      </c>
      <c r="P21" s="128">
        <f>'до 150 кВт_2021'!G15</f>
        <v>50.065015714285707</v>
      </c>
    </row>
    <row r="22" spans="1:17" ht="15.75">
      <c r="A22" s="33" t="s">
        <v>36</v>
      </c>
      <c r="B22" s="33" t="s">
        <v>78</v>
      </c>
      <c r="C22" s="39">
        <v>0.64</v>
      </c>
      <c r="D22" s="39">
        <v>5.8000000000000003E-2</v>
      </c>
      <c r="E22" s="39">
        <f>AVERAGE(E24:E28)</f>
        <v>1035319.7595617832</v>
      </c>
      <c r="F22" s="39">
        <f>SUM(F23:F28)</f>
        <v>0.23800000000000002</v>
      </c>
      <c r="G22" s="39">
        <f>SUM(G23:G28)</f>
        <v>202.52957553804197</v>
      </c>
      <c r="H22" s="39">
        <f>G22</f>
        <v>202.52957553804197</v>
      </c>
      <c r="I22" s="39">
        <f>AVERAGE(I23:I28)</f>
        <v>2583281.0279999999</v>
      </c>
      <c r="J22" s="39">
        <f>SUM(J23:J28)</f>
        <v>0.23800000000000002</v>
      </c>
      <c r="K22" s="39">
        <f>SUM(K23:K28)</f>
        <v>551.63247256</v>
      </c>
      <c r="L22" s="39">
        <f>AVERAGE(L24:L28)</f>
        <v>2282016.7281600004</v>
      </c>
      <c r="M22" s="39">
        <f>SUM(M24:M28)</f>
        <v>0.67399999999999993</v>
      </c>
      <c r="N22" s="39">
        <f>SUM(N24:N28)</f>
        <v>2121.6303119335998</v>
      </c>
      <c r="O22" s="46"/>
    </row>
    <row r="23" spans="1:17" s="115" customFormat="1" ht="31.5">
      <c r="A23" s="9" t="s">
        <v>279</v>
      </c>
      <c r="B23" s="9" t="s">
        <v>40</v>
      </c>
      <c r="C23" s="36"/>
      <c r="D23" s="36"/>
      <c r="E23" s="18">
        <f t="shared" ref="E23:E25" si="14">G23/F23*1000</f>
        <v>420024.62581057014</v>
      </c>
      <c r="F23" s="36">
        <f>'08_2021'!O124</f>
        <v>0.113</v>
      </c>
      <c r="G23" s="36">
        <f>'08_2021'!P124/1000</f>
        <v>47.462782716594425</v>
      </c>
      <c r="H23" s="18">
        <f>G23</f>
        <v>47.462782716594425</v>
      </c>
      <c r="I23" s="18">
        <v>1945170.87</v>
      </c>
      <c r="J23" s="18">
        <f>F23</f>
        <v>0.113</v>
      </c>
      <c r="K23" s="18">
        <f t="shared" ref="K23" si="15">I23*J23/1000</f>
        <v>219.80430831000001</v>
      </c>
      <c r="L23" s="10">
        <f t="shared" si="7"/>
        <v>2022977.7048000002</v>
      </c>
      <c r="M23" s="10">
        <f t="shared" ref="M23" si="16">J23</f>
        <v>0.113</v>
      </c>
      <c r="N23" s="10">
        <f t="shared" ref="N23" si="17">L23*M23/1000</f>
        <v>228.59648064240002</v>
      </c>
      <c r="O23" s="119"/>
      <c r="P23" s="128">
        <f>G23+'до 150 кВт_2021'!G18</f>
        <v>419.28056271659443</v>
      </c>
      <c r="Q23" s="115">
        <f>'08_2021'!Q124</f>
        <v>45</v>
      </c>
    </row>
    <row r="24" spans="1:17" ht="31.5" customHeight="1">
      <c r="A24" s="9" t="s">
        <v>102</v>
      </c>
      <c r="B24" s="9" t="s">
        <v>154</v>
      </c>
      <c r="C24" s="36">
        <v>7.0000000000000007E-2</v>
      </c>
      <c r="D24" s="36"/>
      <c r="E24" s="18">
        <f t="shared" si="14"/>
        <v>693295.45454545447</v>
      </c>
      <c r="F24" s="36">
        <f>'08_2021'!O126</f>
        <v>2.5000000000000001E-2</v>
      </c>
      <c r="G24" s="36">
        <f>'08_2021'!P126/1000</f>
        <v>17.332386363636363</v>
      </c>
      <c r="H24" s="18">
        <f>G24</f>
        <v>17.332386363636363</v>
      </c>
      <c r="I24" s="18">
        <v>2205858.73</v>
      </c>
      <c r="J24" s="18">
        <f t="shared" ref="J24:J28" si="18">F24</f>
        <v>2.5000000000000001E-2</v>
      </c>
      <c r="K24" s="18">
        <f t="shared" si="6"/>
        <v>55.146468250000005</v>
      </c>
      <c r="L24" s="10">
        <f t="shared" si="7"/>
        <v>2294093.0792</v>
      </c>
      <c r="M24" s="10">
        <f t="shared" ref="M24" si="19">J24</f>
        <v>2.5000000000000001E-2</v>
      </c>
      <c r="N24" s="10">
        <f t="shared" ref="N24:N28" si="20">L24*M24/1000</f>
        <v>57.352326980000008</v>
      </c>
      <c r="O24" s="47">
        <f>I24-E24</f>
        <v>1512563.2754545454</v>
      </c>
      <c r="P24" s="128">
        <f>G24+'до 150 кВт_2021'!G19</f>
        <v>1059.9996571866516</v>
      </c>
      <c r="Q24">
        <f>'08_2021'!Q126</f>
        <v>15</v>
      </c>
    </row>
    <row r="25" spans="1:17" ht="31.5" customHeight="1">
      <c r="A25" s="9" t="s">
        <v>53</v>
      </c>
      <c r="B25" s="9" t="s">
        <v>51</v>
      </c>
      <c r="C25" s="36"/>
      <c r="D25" s="36">
        <v>5.8000000000000003E-2</v>
      </c>
      <c r="E25" s="18">
        <f t="shared" si="14"/>
        <v>1377344.0645781117</v>
      </c>
      <c r="F25" s="41">
        <f>'08_2021'!O127</f>
        <v>0.1</v>
      </c>
      <c r="G25" s="36">
        <f>'08_2021'!P127/1000</f>
        <v>137.73440645781119</v>
      </c>
      <c r="H25" s="18">
        <f t="shared" ref="H25" si="21">G25</f>
        <v>137.73440645781119</v>
      </c>
      <c r="I25" s="18">
        <v>2766816.96</v>
      </c>
      <c r="J25" s="18">
        <f>F25</f>
        <v>0.1</v>
      </c>
      <c r="K25" s="18">
        <f t="shared" si="6"/>
        <v>276.68169599999999</v>
      </c>
      <c r="L25" s="10">
        <f t="shared" si="7"/>
        <v>2877489.6384000001</v>
      </c>
      <c r="M25" s="36">
        <f t="shared" ref="M25:M27" si="22">AVERAGE(C25,D25,F25)</f>
        <v>7.9000000000000001E-2</v>
      </c>
      <c r="N25" s="10">
        <f t="shared" si="20"/>
        <v>227.32168143359999</v>
      </c>
      <c r="O25" s="46"/>
      <c r="P25" s="128">
        <f>G25+'до 150 кВт_2021'!G20</f>
        <v>5010.3338520412235</v>
      </c>
      <c r="Q25">
        <f>'08_2021'!Q127</f>
        <v>25</v>
      </c>
    </row>
    <row r="26" spans="1:17" ht="31.5" customHeight="1">
      <c r="A26" s="9" t="s">
        <v>54</v>
      </c>
      <c r="B26" s="9" t="s">
        <v>302</v>
      </c>
      <c r="C26" s="36">
        <v>0.09</v>
      </c>
      <c r="D26" s="36"/>
      <c r="E26" s="18"/>
      <c r="F26" s="36"/>
      <c r="G26" s="36"/>
      <c r="H26" s="18">
        <f t="shared" ref="H26:H28" si="23">G26</f>
        <v>0</v>
      </c>
      <c r="I26" s="18">
        <v>2853856.36</v>
      </c>
      <c r="J26" s="18">
        <f t="shared" si="18"/>
        <v>0</v>
      </c>
      <c r="K26" s="18">
        <f t="shared" si="6"/>
        <v>0</v>
      </c>
      <c r="L26" s="10">
        <f t="shared" si="7"/>
        <v>2968010.6143999998</v>
      </c>
      <c r="M26" s="36">
        <f t="shared" si="22"/>
        <v>0.09</v>
      </c>
      <c r="N26" s="10">
        <f t="shared" si="20"/>
        <v>267.12095529599998</v>
      </c>
      <c r="O26" s="47">
        <f>I26-E26</f>
        <v>2853856.36</v>
      </c>
      <c r="P26" s="128">
        <f>'до 150 кВт_2021'!G22</f>
        <v>27.235103312101902</v>
      </c>
    </row>
    <row r="27" spans="1:17" ht="31.5" customHeight="1">
      <c r="A27" s="9" t="s">
        <v>57</v>
      </c>
      <c r="B27" s="9" t="s">
        <v>55</v>
      </c>
      <c r="C27" s="36">
        <v>0.48</v>
      </c>
      <c r="D27" s="36"/>
      <c r="E27" s="18"/>
      <c r="F27" s="36"/>
      <c r="G27" s="36"/>
      <c r="H27" s="18">
        <f t="shared" ref="H27" si="24">G27</f>
        <v>0</v>
      </c>
      <c r="I27" s="18">
        <v>3144702.22</v>
      </c>
      <c r="J27" s="18">
        <f t="shared" si="18"/>
        <v>0</v>
      </c>
      <c r="K27" s="18">
        <f t="shared" si="6"/>
        <v>0</v>
      </c>
      <c r="L27" s="10">
        <f t="shared" si="7"/>
        <v>3270490.3088000002</v>
      </c>
      <c r="M27" s="36">
        <f t="shared" si="22"/>
        <v>0.48</v>
      </c>
      <c r="N27" s="10">
        <f t="shared" si="20"/>
        <v>1569.835348224</v>
      </c>
      <c r="O27" s="46"/>
      <c r="P27" s="128">
        <f>'до 150 кВт_2021'!G23</f>
        <v>1204.3041832327715</v>
      </c>
    </row>
    <row r="28" spans="1:17" ht="31.5" hidden="1" customHeight="1">
      <c r="A28" s="9" t="s">
        <v>58</v>
      </c>
      <c r="B28" s="9" t="s">
        <v>56</v>
      </c>
      <c r="C28" s="36"/>
      <c r="D28" s="36"/>
      <c r="E28" s="18"/>
      <c r="F28" s="36"/>
      <c r="G28" s="36"/>
      <c r="H28" s="18">
        <f t="shared" si="23"/>
        <v>0</v>
      </c>
      <c r="I28" s="18"/>
      <c r="J28" s="18">
        <f t="shared" si="18"/>
        <v>0</v>
      </c>
      <c r="K28" s="18">
        <f t="shared" si="6"/>
        <v>0</v>
      </c>
      <c r="L28" s="10">
        <f t="shared" ref="L28" si="25">I28*1.04</f>
        <v>0</v>
      </c>
      <c r="M28" s="10">
        <v>0</v>
      </c>
      <c r="N28" s="10">
        <f t="shared" si="20"/>
        <v>0</v>
      </c>
      <c r="O28" s="46"/>
    </row>
    <row r="29" spans="1:17" ht="47.25">
      <c r="A29" s="9" t="s">
        <v>59</v>
      </c>
      <c r="B29" s="43" t="s">
        <v>19</v>
      </c>
      <c r="C29" s="36"/>
      <c r="D29" s="36"/>
      <c r="E29" s="18">
        <v>0</v>
      </c>
      <c r="F29" s="36"/>
      <c r="G29" s="36">
        <v>0</v>
      </c>
      <c r="H29" s="18">
        <f t="shared" ref="H29:H34" si="26">G29</f>
        <v>0</v>
      </c>
      <c r="I29" s="18">
        <v>0</v>
      </c>
      <c r="J29" s="18">
        <v>0</v>
      </c>
      <c r="K29" s="18">
        <v>0</v>
      </c>
      <c r="L29" s="10">
        <v>0</v>
      </c>
      <c r="M29" s="10">
        <f t="shared" ref="M29" si="27">(C29+D29+F29)/3</f>
        <v>0</v>
      </c>
      <c r="N29" s="10">
        <f>L29*M29*5.69/1000</f>
        <v>0</v>
      </c>
      <c r="O29" s="46"/>
    </row>
    <row r="30" spans="1:17" s="8" customFormat="1" ht="78.75">
      <c r="A30" s="5" t="s">
        <v>61</v>
      </c>
      <c r="B30" s="5" t="s">
        <v>63</v>
      </c>
      <c r="C30" s="35">
        <v>400</v>
      </c>
      <c r="D30" s="35">
        <v>0</v>
      </c>
      <c r="E30" s="17">
        <f>E31</f>
        <v>0</v>
      </c>
      <c r="F30" s="17">
        <f t="shared" ref="F30:K30" si="28">F31</f>
        <v>0</v>
      </c>
      <c r="G30" s="17">
        <f t="shared" si="28"/>
        <v>0</v>
      </c>
      <c r="H30" s="17">
        <f t="shared" si="28"/>
        <v>0</v>
      </c>
      <c r="I30" s="17">
        <f t="shared" si="28"/>
        <v>11768.79</v>
      </c>
      <c r="J30" s="17">
        <f t="shared" si="28"/>
        <v>0</v>
      </c>
      <c r="K30" s="17">
        <f t="shared" si="28"/>
        <v>0</v>
      </c>
      <c r="L30" s="6"/>
      <c r="M30" s="6"/>
      <c r="N30" s="6"/>
      <c r="O30" s="52"/>
    </row>
    <row r="31" spans="1:17" ht="31.5">
      <c r="A31" s="53" t="s">
        <v>109</v>
      </c>
      <c r="B31" s="43" t="s">
        <v>110</v>
      </c>
      <c r="C31" s="36">
        <v>400</v>
      </c>
      <c r="D31" s="36"/>
      <c r="E31" s="18"/>
      <c r="F31" s="36"/>
      <c r="G31" s="36"/>
      <c r="H31" s="18">
        <f>G31</f>
        <v>0</v>
      </c>
      <c r="I31" s="18">
        <f>'до 150 кВт_2021'!I29</f>
        <v>11768.79</v>
      </c>
      <c r="J31" s="18">
        <f>F31</f>
        <v>0</v>
      </c>
      <c r="K31" s="18">
        <f>I31*J31/1000</f>
        <v>0</v>
      </c>
      <c r="L31" s="10"/>
      <c r="M31" s="10"/>
      <c r="N31" s="10"/>
      <c r="O31" s="46"/>
    </row>
    <row r="32" spans="1:17" ht="47.25">
      <c r="A32" s="9" t="s">
        <v>64</v>
      </c>
      <c r="B32" s="9" t="s">
        <v>65</v>
      </c>
      <c r="C32" s="36"/>
      <c r="D32" s="36"/>
      <c r="E32" s="18"/>
      <c r="F32" s="36"/>
      <c r="G32" s="36"/>
      <c r="H32" s="18"/>
      <c r="I32" s="18"/>
      <c r="J32" s="18"/>
      <c r="K32" s="18"/>
      <c r="L32" s="10"/>
      <c r="M32" s="10"/>
      <c r="N32" s="10"/>
      <c r="O32" s="46"/>
    </row>
    <row r="33" spans="1:15" ht="94.5">
      <c r="A33" s="38" t="s">
        <v>68</v>
      </c>
      <c r="B33" s="43" t="s">
        <v>43</v>
      </c>
      <c r="C33" s="36">
        <v>0</v>
      </c>
      <c r="D33" s="36">
        <v>0</v>
      </c>
      <c r="E33" s="18"/>
      <c r="F33" s="36">
        <v>0</v>
      </c>
      <c r="G33" s="36">
        <v>0</v>
      </c>
      <c r="H33" s="18">
        <f t="shared" si="26"/>
        <v>0</v>
      </c>
      <c r="I33" s="18"/>
      <c r="J33" s="18">
        <v>0</v>
      </c>
      <c r="K33" s="18">
        <f>I33*J33/1000*4.36</f>
        <v>0</v>
      </c>
      <c r="L33" s="16">
        <v>0</v>
      </c>
      <c r="M33" s="16">
        <v>0</v>
      </c>
      <c r="N33" s="16">
        <f>L33*M33/1000*1.04</f>
        <v>0</v>
      </c>
      <c r="O33" s="46"/>
    </row>
    <row r="34" spans="1:15" ht="56.25" customHeight="1">
      <c r="A34" s="9" t="s">
        <v>67</v>
      </c>
      <c r="B34" s="9" t="s">
        <v>66</v>
      </c>
      <c r="C34" s="36">
        <v>1E-4</v>
      </c>
      <c r="D34" s="36">
        <v>1E-4</v>
      </c>
      <c r="E34" s="18">
        <f>G34/F34*1000/5.69</f>
        <v>0</v>
      </c>
      <c r="F34" s="36">
        <v>1E-4</v>
      </c>
      <c r="G34" s="36">
        <v>0</v>
      </c>
      <c r="H34" s="18">
        <f t="shared" si="26"/>
        <v>0</v>
      </c>
      <c r="I34" s="18">
        <f>K34/J34*1000/5.69</f>
        <v>0</v>
      </c>
      <c r="J34" s="18">
        <v>1E-4</v>
      </c>
      <c r="K34" s="18">
        <v>0</v>
      </c>
      <c r="L34" s="10">
        <v>0</v>
      </c>
      <c r="M34" s="10">
        <f>(C34+D34+F34)/3</f>
        <v>1E-4</v>
      </c>
      <c r="N34" s="10">
        <f>L34*M34*5.69/1000</f>
        <v>0</v>
      </c>
      <c r="O34" s="46"/>
    </row>
    <row r="35" spans="1:15" s="115" customFormat="1" ht="56.25" customHeight="1">
      <c r="A35" s="9"/>
      <c r="B35" s="9" t="s">
        <v>310</v>
      </c>
      <c r="C35" s="36">
        <v>0</v>
      </c>
      <c r="D35" s="36">
        <v>47</v>
      </c>
      <c r="E35" s="18">
        <f>G35/F35</f>
        <v>11.859953734939779</v>
      </c>
      <c r="F35" s="36">
        <f>'[8]4.ВД до 15'!D21</f>
        <v>249</v>
      </c>
      <c r="G35" s="36">
        <f>'[8]4.ВД до 15'!E21</f>
        <v>2953.1284800000049</v>
      </c>
      <c r="H35" s="18">
        <f>G35</f>
        <v>2953.1284800000049</v>
      </c>
      <c r="I35" s="18"/>
      <c r="J35" s="18">
        <f>F35</f>
        <v>249</v>
      </c>
      <c r="K35" s="18"/>
      <c r="L35" s="10"/>
      <c r="M35" s="10"/>
      <c r="N35" s="10"/>
      <c r="O35" s="153"/>
    </row>
    <row r="36" spans="1:15" ht="63">
      <c r="A36" s="5" t="s">
        <v>70</v>
      </c>
      <c r="B36" s="5" t="s">
        <v>69</v>
      </c>
      <c r="C36" s="18" t="s">
        <v>15</v>
      </c>
      <c r="D36" s="18" t="s">
        <v>15</v>
      </c>
      <c r="E36" s="18" t="s">
        <v>15</v>
      </c>
      <c r="F36" s="18" t="s">
        <v>15</v>
      </c>
      <c r="G36" s="17">
        <f>G37*G38/1000</f>
        <v>125.58333333333334</v>
      </c>
      <c r="H36" s="17">
        <f>H37*H38/1000</f>
        <v>125.58333333333334</v>
      </c>
      <c r="I36" s="18" t="s">
        <v>15</v>
      </c>
      <c r="J36" s="18" t="s">
        <v>15</v>
      </c>
      <c r="K36" s="17">
        <f>K37*K38/1000</f>
        <v>127.71140000000001</v>
      </c>
      <c r="L36" s="10" t="s">
        <v>15</v>
      </c>
      <c r="M36" s="10" t="s">
        <v>15</v>
      </c>
      <c r="N36" s="6">
        <f>N37*N38/1000</f>
        <v>98.036366666666666</v>
      </c>
      <c r="O36" s="46"/>
    </row>
    <row r="37" spans="1:15" ht="31.5">
      <c r="A37" s="9" t="s">
        <v>71</v>
      </c>
      <c r="B37" s="9" t="s">
        <v>34</v>
      </c>
      <c r="C37" s="18" t="s">
        <v>15</v>
      </c>
      <c r="D37" s="18" t="s">
        <v>15</v>
      </c>
      <c r="E37" s="18" t="s">
        <v>15</v>
      </c>
      <c r="F37" s="18" t="s">
        <v>15</v>
      </c>
      <c r="G37" s="18">
        <f>550/1.2</f>
        <v>458.33333333333337</v>
      </c>
      <c r="H37" s="18">
        <f>G37</f>
        <v>458.33333333333337</v>
      </c>
      <c r="I37" s="18" t="s">
        <v>15</v>
      </c>
      <c r="J37" s="18" t="s">
        <v>15</v>
      </c>
      <c r="K37" s="18">
        <v>466.1</v>
      </c>
      <c r="L37" s="10" t="s">
        <v>15</v>
      </c>
      <c r="M37" s="10" t="s">
        <v>15</v>
      </c>
      <c r="N37" s="10">
        <v>466.1</v>
      </c>
      <c r="O37" s="46"/>
    </row>
    <row r="38" spans="1:15" ht="204.75">
      <c r="A38" s="9" t="s">
        <v>72</v>
      </c>
      <c r="B38" s="9" t="s">
        <v>73</v>
      </c>
      <c r="C38" s="54">
        <v>168</v>
      </c>
      <c r="D38" s="54" t="s">
        <v>15</v>
      </c>
      <c r="E38" s="54" t="s">
        <v>15</v>
      </c>
      <c r="F38" s="54" t="s">
        <v>15</v>
      </c>
      <c r="G38" s="62">
        <v>274</v>
      </c>
      <c r="H38" s="54">
        <f>G38</f>
        <v>274</v>
      </c>
      <c r="I38" s="54" t="s">
        <v>15</v>
      </c>
      <c r="J38" s="54" t="s">
        <v>15</v>
      </c>
      <c r="K38" s="54">
        <f>G38</f>
        <v>274</v>
      </c>
      <c r="L38" s="63" t="s">
        <v>15</v>
      </c>
      <c r="M38" s="63" t="s">
        <v>15</v>
      </c>
      <c r="N38" s="63">
        <f>M13</f>
        <v>210.33333333333334</v>
      </c>
      <c r="O38" s="46"/>
    </row>
    <row r="39" spans="1:15" ht="110.25">
      <c r="A39" s="5"/>
      <c r="B39" s="5" t="s">
        <v>74</v>
      </c>
      <c r="C39" s="18" t="s">
        <v>15</v>
      </c>
      <c r="D39" s="18" t="s">
        <v>15</v>
      </c>
      <c r="E39" s="18" t="s">
        <v>15</v>
      </c>
      <c r="F39" s="18" t="s">
        <v>15</v>
      </c>
      <c r="G39" s="17">
        <f>G12+G17+G30-G36+G35</f>
        <v>7795.6030654351198</v>
      </c>
      <c r="H39" s="17">
        <f>H12+H17+H30-H36+H35</f>
        <v>7795.6030654351198</v>
      </c>
      <c r="I39" s="18" t="s">
        <v>15</v>
      </c>
      <c r="J39" s="18" t="s">
        <v>15</v>
      </c>
      <c r="K39" s="17">
        <f>K17+K30-K36</f>
        <v>6250.6922032399998</v>
      </c>
      <c r="L39" s="10" t="s">
        <v>15</v>
      </c>
      <c r="M39" s="10" t="s">
        <v>15</v>
      </c>
      <c r="N39" s="17">
        <f>N17+N30-N36</f>
        <v>8467.348498929332</v>
      </c>
      <c r="O39" s="58"/>
    </row>
    <row r="40" spans="1:15" s="59" customFormat="1" ht="15.75">
      <c r="D40" s="60"/>
      <c r="G40" s="61"/>
      <c r="H40" s="92"/>
    </row>
    <row r="41" spans="1:15">
      <c r="G41" s="26"/>
      <c r="H41" s="128"/>
      <c r="N41" s="26"/>
    </row>
    <row r="42" spans="1:15">
      <c r="H42" s="64"/>
    </row>
    <row r="43" spans="1:15" ht="21">
      <c r="C43" s="22" t="s">
        <v>156</v>
      </c>
      <c r="D43" s="22"/>
      <c r="G43" s="26"/>
      <c r="I43" s="22" t="s">
        <v>157</v>
      </c>
    </row>
    <row r="45" spans="1:15">
      <c r="E45" s="26"/>
    </row>
    <row r="46" spans="1:15">
      <c r="E46" s="26"/>
      <c r="H46" s="64"/>
    </row>
  </sheetData>
  <mergeCells count="23">
    <mergeCell ref="A7:A10"/>
    <mergeCell ref="B7:B10"/>
    <mergeCell ref="C7:D7"/>
    <mergeCell ref="C9:C10"/>
    <mergeCell ref="D9:D10"/>
    <mergeCell ref="B3:N3"/>
    <mergeCell ref="E9:E10"/>
    <mergeCell ref="F9:F10"/>
    <mergeCell ref="G9:G10"/>
    <mergeCell ref="E8:G8"/>
    <mergeCell ref="I8:K8"/>
    <mergeCell ref="H10:H11"/>
    <mergeCell ref="N9:N10"/>
    <mergeCell ref="I9:I10"/>
    <mergeCell ref="J9:J10"/>
    <mergeCell ref="K9:K10"/>
    <mergeCell ref="L9:L10"/>
    <mergeCell ref="M9:M10"/>
    <mergeCell ref="O10:O11"/>
    <mergeCell ref="L8:N8"/>
    <mergeCell ref="E7:G7"/>
    <mergeCell ref="I7:K7"/>
    <mergeCell ref="L7:N7"/>
  </mergeCells>
  <pageMargins left="3.937007874015748E-2" right="0.19685039370078741" top="0.53" bottom="0.15748031496062992" header="0.55000000000000004" footer="0.31496062992125984"/>
  <pageSetup paperSize="9" scale="50" fitToHeight="2" orientation="landscape" r:id="rId1"/>
  <headerFooter>
    <oddHeader>&amp;C&amp;P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V65"/>
  <sheetViews>
    <sheetView tabSelected="1" view="pageBreakPreview" zoomScale="70" zoomScaleNormal="70" zoomScaleSheetLayoutView="70" workbookViewId="0">
      <pane xSplit="2" ySplit="9" topLeftCell="C57" activePane="bottomRight" state="frozen"/>
      <selection pane="topRight" activeCell="C1" sqref="C1"/>
      <selection pane="bottomLeft" activeCell="A7" sqref="A7"/>
      <selection pane="bottomRight" activeCell="I64" sqref="I64"/>
    </sheetView>
  </sheetViews>
  <sheetFormatPr defaultRowHeight="15"/>
  <cols>
    <col min="1" max="1" width="10.85546875" customWidth="1"/>
    <col min="2" max="2" width="40.7109375" customWidth="1"/>
    <col min="3" max="4" width="20.5703125" customWidth="1"/>
    <col min="5" max="5" width="16.42578125" customWidth="1"/>
    <col min="6" max="6" width="15.85546875" customWidth="1"/>
    <col min="7" max="7" width="17.7109375" bestFit="1" customWidth="1"/>
    <col min="8" max="8" width="17.7109375" customWidth="1"/>
    <col min="9" max="9" width="20.140625" bestFit="1" customWidth="1"/>
    <col min="10" max="10" width="17" customWidth="1"/>
    <col min="11" max="11" width="14.42578125" customWidth="1"/>
    <col min="12" max="12" width="17.7109375" bestFit="1" customWidth="1"/>
    <col min="13" max="14" width="15.85546875" customWidth="1"/>
    <col min="15" max="17" width="15.85546875" hidden="1" customWidth="1"/>
    <col min="18" max="18" width="20.28515625" hidden="1" customWidth="1"/>
  </cols>
  <sheetData>
    <row r="2" spans="1:20" ht="49.5" customHeight="1">
      <c r="B2" s="287" t="s">
        <v>107</v>
      </c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</row>
    <row r="6" spans="1:20" ht="39" customHeight="1">
      <c r="A6" s="288" t="s">
        <v>0</v>
      </c>
      <c r="B6" s="288" t="s">
        <v>1</v>
      </c>
      <c r="C6" s="283" t="s">
        <v>23</v>
      </c>
      <c r="D6" s="301"/>
      <c r="E6" s="280" t="s">
        <v>539</v>
      </c>
      <c r="F6" s="302"/>
      <c r="G6" s="302"/>
      <c r="H6" s="25"/>
      <c r="I6" s="283" t="s">
        <v>542</v>
      </c>
      <c r="J6" s="284"/>
      <c r="K6" s="284"/>
      <c r="L6" s="303" t="s">
        <v>543</v>
      </c>
      <c r="M6" s="303"/>
      <c r="N6" s="303"/>
      <c r="O6" s="304"/>
      <c r="P6" s="304"/>
      <c r="Q6" s="304"/>
    </row>
    <row r="7" spans="1:20" ht="36.75" customHeight="1">
      <c r="A7" s="299"/>
      <c r="B7" s="299"/>
      <c r="C7" s="13">
        <v>2019</v>
      </c>
      <c r="D7" s="13">
        <v>2020</v>
      </c>
      <c r="E7" s="293" t="s">
        <v>3</v>
      </c>
      <c r="F7" s="294"/>
      <c r="G7" s="295"/>
      <c r="H7" s="24"/>
      <c r="I7" s="293" t="s">
        <v>3</v>
      </c>
      <c r="J7" s="294"/>
      <c r="K7" s="295"/>
      <c r="L7" s="293" t="s">
        <v>3</v>
      </c>
      <c r="M7" s="294"/>
      <c r="N7" s="295"/>
      <c r="O7" s="296" t="s">
        <v>4</v>
      </c>
      <c r="P7" s="297"/>
      <c r="Q7" s="298"/>
    </row>
    <row r="8" spans="1:20" ht="96.75" customHeight="1">
      <c r="A8" s="299"/>
      <c r="B8" s="299"/>
      <c r="C8" s="2" t="s">
        <v>6</v>
      </c>
      <c r="D8" s="2" t="s">
        <v>6</v>
      </c>
      <c r="E8" s="2" t="s">
        <v>5</v>
      </c>
      <c r="F8" s="2" t="s">
        <v>6</v>
      </c>
      <c r="G8" s="2" t="s">
        <v>7</v>
      </c>
      <c r="H8" s="23" t="s">
        <v>39</v>
      </c>
      <c r="I8" s="2" t="s">
        <v>8</v>
      </c>
      <c r="J8" s="2" t="s">
        <v>6</v>
      </c>
      <c r="K8" s="2" t="s">
        <v>9</v>
      </c>
      <c r="L8" s="2" t="s">
        <v>10</v>
      </c>
      <c r="M8" s="2" t="s">
        <v>6</v>
      </c>
      <c r="N8" s="2" t="s">
        <v>548</v>
      </c>
      <c r="O8" s="3" t="s">
        <v>10</v>
      </c>
      <c r="P8" s="3" t="s">
        <v>6</v>
      </c>
      <c r="Q8" s="48" t="s">
        <v>9</v>
      </c>
      <c r="R8" s="3" t="s">
        <v>106</v>
      </c>
    </row>
    <row r="9" spans="1:20" ht="59.25" customHeight="1">
      <c r="A9" s="300"/>
      <c r="B9" s="300"/>
      <c r="C9" s="2" t="s">
        <v>12</v>
      </c>
      <c r="D9" s="2" t="s">
        <v>12</v>
      </c>
      <c r="E9" s="2" t="s">
        <v>11</v>
      </c>
      <c r="F9" s="2" t="s">
        <v>12</v>
      </c>
      <c r="G9" s="2" t="s">
        <v>13</v>
      </c>
      <c r="H9" s="23"/>
      <c r="I9" s="2" t="s">
        <v>11</v>
      </c>
      <c r="J9" s="2" t="s">
        <v>12</v>
      </c>
      <c r="K9" s="2" t="s">
        <v>13</v>
      </c>
      <c r="L9" s="2" t="s">
        <v>11</v>
      </c>
      <c r="M9" s="2" t="s">
        <v>12</v>
      </c>
      <c r="N9" s="2" t="s">
        <v>13</v>
      </c>
      <c r="O9" s="3" t="s">
        <v>11</v>
      </c>
      <c r="P9" s="3" t="s">
        <v>12</v>
      </c>
      <c r="Q9" s="48" t="s">
        <v>13</v>
      </c>
      <c r="R9" s="46"/>
    </row>
    <row r="10" spans="1:20" ht="15.75">
      <c r="A10" s="2">
        <v>1</v>
      </c>
      <c r="B10" s="2">
        <v>2</v>
      </c>
      <c r="C10" s="2">
        <v>4</v>
      </c>
      <c r="D10" s="2">
        <v>4</v>
      </c>
      <c r="E10" s="2">
        <v>3</v>
      </c>
      <c r="F10" s="2">
        <v>4</v>
      </c>
      <c r="G10" s="2">
        <v>5</v>
      </c>
      <c r="H10" s="23"/>
      <c r="I10" s="2">
        <v>9</v>
      </c>
      <c r="J10" s="2">
        <v>10</v>
      </c>
      <c r="K10" s="2">
        <v>11</v>
      </c>
      <c r="L10" s="2">
        <v>15</v>
      </c>
      <c r="M10" s="2">
        <v>16</v>
      </c>
      <c r="N10" s="2">
        <v>17</v>
      </c>
      <c r="O10" s="3">
        <v>18</v>
      </c>
      <c r="P10" s="3">
        <v>19</v>
      </c>
      <c r="Q10" s="48">
        <v>20</v>
      </c>
      <c r="R10" s="46"/>
    </row>
    <row r="11" spans="1:20" s="8" customFormat="1" ht="110.25">
      <c r="A11" s="4" t="s">
        <v>14</v>
      </c>
      <c r="B11" s="5" t="s">
        <v>75</v>
      </c>
      <c r="C11" s="6" t="s">
        <v>15</v>
      </c>
      <c r="D11" s="6" t="s">
        <v>15</v>
      </c>
      <c r="E11" s="6" t="s">
        <v>15</v>
      </c>
      <c r="F11" s="6" t="s">
        <v>15</v>
      </c>
      <c r="G11" s="6">
        <f>G12+G17+G30+G24+G26</f>
        <v>11856.808980000002</v>
      </c>
      <c r="H11" s="6">
        <f>H12+H17+H30+H24+H26</f>
        <v>11856.808980000002</v>
      </c>
      <c r="I11" s="6" t="s">
        <v>15</v>
      </c>
      <c r="J11" s="6" t="s">
        <v>15</v>
      </c>
      <c r="K11" s="6">
        <f>K12+K17+K30</f>
        <v>21564.082085720001</v>
      </c>
      <c r="L11" s="6" t="s">
        <v>15</v>
      </c>
      <c r="M11" s="6" t="s">
        <v>15</v>
      </c>
      <c r="N11" s="6">
        <f>N12+N17+N30</f>
        <v>11487.993765308665</v>
      </c>
      <c r="O11" s="7" t="s">
        <v>15</v>
      </c>
      <c r="P11" s="7" t="s">
        <v>15</v>
      </c>
      <c r="Q11" s="49">
        <f>SUM(Q12:Q33)</f>
        <v>583.24261430000001</v>
      </c>
      <c r="R11" s="52"/>
    </row>
    <row r="12" spans="1:20" ht="15.75">
      <c r="A12" s="32">
        <v>2</v>
      </c>
      <c r="B12" s="33" t="s">
        <v>76</v>
      </c>
      <c r="C12" s="34">
        <v>2.67</v>
      </c>
      <c r="D12" s="34">
        <v>8.8580000000000005</v>
      </c>
      <c r="E12" s="34">
        <f>AVERAGE(E13:E16)</f>
        <v>441728.29787344235</v>
      </c>
      <c r="F12" s="34">
        <f>SUM(F13:F16)</f>
        <v>6.6269999999999998</v>
      </c>
      <c r="G12" s="34">
        <f>G13+G14+G16+G15</f>
        <v>3372.101227048699</v>
      </c>
      <c r="H12" s="34">
        <f>SUM(H13:H16)</f>
        <v>3372.101227048699</v>
      </c>
      <c r="I12" s="34">
        <f>AVERAGE(I13:I16)</f>
        <v>1520769.46</v>
      </c>
      <c r="J12" s="34">
        <f>SUM(J13:J16)</f>
        <v>6.6269999999999998</v>
      </c>
      <c r="K12" s="34">
        <f>SUM(K13:K16)</f>
        <v>9378.7504345199995</v>
      </c>
      <c r="L12" s="34">
        <f>AVERAGE(L13:L16)</f>
        <v>1581600.2384000001</v>
      </c>
      <c r="M12" s="34">
        <f>SUM(M13:M16)</f>
        <v>6.538333333333334</v>
      </c>
      <c r="N12" s="34">
        <f>SUM(N13:N16)</f>
        <v>4831.7648828626661</v>
      </c>
      <c r="O12" s="11">
        <v>191966</v>
      </c>
      <c r="P12" s="11">
        <f>((1.3+1.2+1.3)/3)/4</f>
        <v>0.31666666666666665</v>
      </c>
      <c r="Q12" s="50">
        <f>O12*P12/1000*4.02</f>
        <v>244.37271799999996</v>
      </c>
      <c r="R12" s="46"/>
    </row>
    <row r="13" spans="1:20" ht="47.25">
      <c r="A13" s="31" t="s">
        <v>281</v>
      </c>
      <c r="B13" s="9" t="s">
        <v>77</v>
      </c>
      <c r="C13" s="12">
        <v>1.8149999999999999</v>
      </c>
      <c r="D13" s="12">
        <v>4.3580000000000005</v>
      </c>
      <c r="E13" s="12">
        <f>G13/F13*1000</f>
        <v>345740.2304089219</v>
      </c>
      <c r="F13" s="12">
        <f>'08_2021'!J122</f>
        <v>1.5539999999999998</v>
      </c>
      <c r="G13" s="12">
        <f>'08_2021'!K122/1000</f>
        <v>537.28031805546459</v>
      </c>
      <c r="H13" s="10">
        <f>G13</f>
        <v>537.28031805546459</v>
      </c>
      <c r="I13" s="12">
        <f>'до 15 кВт_2021 '!I19</f>
        <v>1254076.3600000001</v>
      </c>
      <c r="J13" s="12">
        <f>F13</f>
        <v>1.5539999999999998</v>
      </c>
      <c r="K13" s="18">
        <f>I13*J13/1000</f>
        <v>1948.83466344</v>
      </c>
      <c r="L13" s="10">
        <f>I13*1.04</f>
        <v>1304239.4144000001</v>
      </c>
      <c r="M13" s="12">
        <f>AVERAGE(C13:D13,F13)</f>
        <v>2.5756666666666668</v>
      </c>
      <c r="N13" s="12">
        <f>L13*M13/1000*0.5</f>
        <v>1679.6429925114669</v>
      </c>
      <c r="O13" s="11"/>
      <c r="P13" s="11"/>
      <c r="Q13" s="50"/>
      <c r="R13" s="47">
        <f>I13-E13</f>
        <v>908336.12959107826</v>
      </c>
      <c r="S13" s="128">
        <f>'08_2021'!M122</f>
        <v>374.7</v>
      </c>
      <c r="T13" s="128"/>
    </row>
    <row r="14" spans="1:20" ht="47.25">
      <c r="A14" s="31" t="s">
        <v>282</v>
      </c>
      <c r="B14" s="9" t="s">
        <v>42</v>
      </c>
      <c r="C14" s="12">
        <v>0.85499999999999998</v>
      </c>
      <c r="D14" s="12">
        <v>3.89</v>
      </c>
      <c r="E14" s="12">
        <f>G14/F14*1000</f>
        <v>562236.19892569119</v>
      </c>
      <c r="F14" s="12">
        <f>'08_2021'!J123</f>
        <v>4.9530000000000003</v>
      </c>
      <c r="G14" s="12">
        <f>'08_2021'!K123/1000</f>
        <v>2784.7558932789484</v>
      </c>
      <c r="H14" s="10">
        <f>G14</f>
        <v>2784.7558932789484</v>
      </c>
      <c r="I14" s="12">
        <f>'до 15 кВт_2021 '!I20</f>
        <v>1464275.16</v>
      </c>
      <c r="J14" s="12">
        <f>F14</f>
        <v>4.9530000000000003</v>
      </c>
      <c r="K14" s="18">
        <f t="shared" ref="K14:K18" si="0">I14*J14/1000</f>
        <v>7252.5548674799993</v>
      </c>
      <c r="L14" s="10">
        <f t="shared" ref="L14:L23" si="1">I14*1.04</f>
        <v>1522846.1664</v>
      </c>
      <c r="M14" s="12">
        <f>AVERAGE(C14:D14,F14)</f>
        <v>3.2326666666666668</v>
      </c>
      <c r="N14" s="12">
        <f>L14*M14/1000*0.5</f>
        <v>2461.4270202911998</v>
      </c>
      <c r="O14" s="11"/>
      <c r="P14" s="11"/>
      <c r="Q14" s="50"/>
      <c r="R14" s="47">
        <f>I14-E14</f>
        <v>902038.96107430873</v>
      </c>
      <c r="S14" s="128">
        <f>'08_2021'!M123</f>
        <v>1703</v>
      </c>
      <c r="T14" s="128"/>
    </row>
    <row r="15" spans="1:20" s="158" customFormat="1" ht="47.25">
      <c r="A15" s="31" t="s">
        <v>544</v>
      </c>
      <c r="B15" s="9" t="s">
        <v>545</v>
      </c>
      <c r="C15" s="12"/>
      <c r="D15" s="12"/>
      <c r="E15" s="12">
        <f>G15/F15*1000</f>
        <v>417208.4642857142</v>
      </c>
      <c r="F15" s="12">
        <f>'08_2021'!J124</f>
        <v>0.12</v>
      </c>
      <c r="G15" s="12">
        <f>'08_2021'!K124/1000</f>
        <v>50.065015714285707</v>
      </c>
      <c r="H15" s="10">
        <f>G15</f>
        <v>50.065015714285707</v>
      </c>
      <c r="I15" s="12">
        <v>1478007.53</v>
      </c>
      <c r="J15" s="12">
        <f>F15</f>
        <v>0.12</v>
      </c>
      <c r="K15" s="18">
        <f t="shared" ref="K15" si="2">I15*J15/1000</f>
        <v>177.3609036</v>
      </c>
      <c r="L15" s="10">
        <f t="shared" si="1"/>
        <v>1537127.8312000001</v>
      </c>
      <c r="M15" s="12">
        <f>AVERAGE(C15:D15,F15)</f>
        <v>0.12</v>
      </c>
      <c r="N15" s="12">
        <f>L15*M15/1000*0.5</f>
        <v>92.227669871999993</v>
      </c>
      <c r="O15" s="11"/>
      <c r="P15" s="11"/>
      <c r="Q15" s="50"/>
      <c r="R15" s="119"/>
      <c r="S15" s="128">
        <f>'08_2021'!M124</f>
        <v>127</v>
      </c>
      <c r="T15" s="128"/>
    </row>
    <row r="16" spans="1:20" s="115" customFormat="1" ht="47.25">
      <c r="A16" s="31" t="s">
        <v>283</v>
      </c>
      <c r="B16" s="9" t="s">
        <v>308</v>
      </c>
      <c r="C16" s="12"/>
      <c r="D16" s="12">
        <v>0.61</v>
      </c>
      <c r="E16" s="12"/>
      <c r="F16" s="12"/>
      <c r="G16" s="12"/>
      <c r="H16" s="10">
        <f>G16</f>
        <v>0</v>
      </c>
      <c r="I16" s="12">
        <f>'до 15 кВт_2021 '!I21</f>
        <v>1886718.79</v>
      </c>
      <c r="J16" s="12">
        <f>F16</f>
        <v>0</v>
      </c>
      <c r="K16" s="18">
        <f t="shared" ref="K16" si="3">I16*J16/1000</f>
        <v>0</v>
      </c>
      <c r="L16" s="10">
        <f t="shared" si="1"/>
        <v>1962187.5416000001</v>
      </c>
      <c r="M16" s="12">
        <f>AVERAGE(C16:D16,F16)</f>
        <v>0.61</v>
      </c>
      <c r="N16" s="12">
        <f>L16*M16/1000*0.5</f>
        <v>598.46720018799999</v>
      </c>
      <c r="O16" s="11"/>
      <c r="P16" s="11"/>
      <c r="Q16" s="50"/>
      <c r="R16" s="119"/>
    </row>
    <row r="17" spans="1:20" ht="15.75">
      <c r="A17" s="32" t="s">
        <v>22</v>
      </c>
      <c r="B17" s="33" t="s">
        <v>79</v>
      </c>
      <c r="C17" s="34">
        <v>1.6990000000000001</v>
      </c>
      <c r="D17" s="34">
        <v>3.3769999999999998</v>
      </c>
      <c r="E17" s="34">
        <f>AVERAGE(E19:E23)</f>
        <v>1779105.5814464751</v>
      </c>
      <c r="F17" s="34">
        <f>SUM(F18:F23)</f>
        <v>4.5480000000000009</v>
      </c>
      <c r="G17" s="34">
        <f>SUM(G18:G23)</f>
        <v>7518.623782951302</v>
      </c>
      <c r="H17" s="34">
        <f>SUM(H18:H23)</f>
        <v>7518.623782951302</v>
      </c>
      <c r="I17" s="34">
        <f>AVERAGE(I19:I21)</f>
        <v>2608844.0166666661</v>
      </c>
      <c r="J17" s="34">
        <f>SUM(J18:J23)</f>
        <v>4.5480000000000009</v>
      </c>
      <c r="K17" s="34">
        <f>SUM(K18:K23)</f>
        <v>12185.331651200002</v>
      </c>
      <c r="L17" s="34">
        <f>AVERAGE(L18:L23)</f>
        <v>2788647.0872</v>
      </c>
      <c r="M17" s="34">
        <f>SUM(M18:M23)</f>
        <v>3.7890000000000001</v>
      </c>
      <c r="N17" s="34">
        <f>SUM(N18:N23)</f>
        <v>5404.8226744459989</v>
      </c>
      <c r="O17" s="11">
        <v>274581</v>
      </c>
      <c r="P17" s="11">
        <v>0.13</v>
      </c>
      <c r="Q17" s="50">
        <f>(O17*P17/1000)*4.51</f>
        <v>160.98684029999998</v>
      </c>
      <c r="R17" s="46"/>
    </row>
    <row r="18" spans="1:20" ht="31.5">
      <c r="A18" s="37" t="s">
        <v>80</v>
      </c>
      <c r="B18" s="9" t="s">
        <v>40</v>
      </c>
      <c r="C18" s="12"/>
      <c r="D18" s="12">
        <v>8.299999999999999E-2</v>
      </c>
      <c r="E18" s="12">
        <f>G18/F18*1000</f>
        <v>1729385.0232558141</v>
      </c>
      <c r="F18" s="12">
        <f>'08_2021'!J125</f>
        <v>0.215</v>
      </c>
      <c r="G18" s="12">
        <f>'08_2021'!K125/1000</f>
        <v>371.81778000000003</v>
      </c>
      <c r="H18" s="10">
        <f>G18</f>
        <v>371.81778000000003</v>
      </c>
      <c r="I18" s="10">
        <f>'до 15 кВт_2021 '!I23</f>
        <v>1945170.87</v>
      </c>
      <c r="J18" s="10">
        <f>F18</f>
        <v>0.215</v>
      </c>
      <c r="K18" s="18">
        <f t="shared" si="0"/>
        <v>418.21173705000001</v>
      </c>
      <c r="L18" s="10">
        <f t="shared" si="1"/>
        <v>2022977.7048000002</v>
      </c>
      <c r="M18" s="12">
        <f>AVERAGE(C18:D18,F18)</f>
        <v>0.14899999999999999</v>
      </c>
      <c r="N18" s="12">
        <f>L18*M18/1000*0.5</f>
        <v>150.71183900760002</v>
      </c>
      <c r="O18" s="11"/>
      <c r="P18" s="11"/>
      <c r="Q18" s="50"/>
      <c r="R18" s="46"/>
      <c r="S18" s="117">
        <f>'08_2021'!M125</f>
        <v>15</v>
      </c>
    </row>
    <row r="19" spans="1:20" ht="47.25">
      <c r="A19" s="37" t="s">
        <v>81</v>
      </c>
      <c r="B19" s="9" t="s">
        <v>50</v>
      </c>
      <c r="C19" s="12">
        <v>0.20300000000000001</v>
      </c>
      <c r="D19" s="12">
        <v>0.49000000000000005</v>
      </c>
      <c r="E19" s="12">
        <f t="shared" ref="E19:E23" si="4">G19/F19*1000</f>
        <v>1311531.1582679434</v>
      </c>
      <c r="F19" s="12">
        <f>'08_2021'!J126</f>
        <v>0.79500000000000015</v>
      </c>
      <c r="G19" s="12">
        <f>'08_2021'!K126/1000</f>
        <v>1042.6672708230153</v>
      </c>
      <c r="H19" s="10">
        <f>G19</f>
        <v>1042.6672708230153</v>
      </c>
      <c r="I19" s="10">
        <f>'до 15 кВт_2021 '!I24</f>
        <v>2205858.73</v>
      </c>
      <c r="J19" s="10">
        <f>F19</f>
        <v>0.79500000000000015</v>
      </c>
      <c r="K19" s="12">
        <f>I19*J19/1000</f>
        <v>1753.6576903500004</v>
      </c>
      <c r="L19" s="10">
        <f t="shared" si="1"/>
        <v>2294093.0792</v>
      </c>
      <c r="M19" s="12">
        <f t="shared" ref="M19:M23" si="5">AVERAGE(C19:D19,F19)</f>
        <v>0.49600000000000005</v>
      </c>
      <c r="N19" s="12">
        <f t="shared" ref="N19:N23" si="6">L19*M19/1000*0.5</f>
        <v>568.93508364160004</v>
      </c>
      <c r="O19" s="11"/>
      <c r="P19" s="11"/>
      <c r="Q19" s="50"/>
      <c r="R19" s="47">
        <f>I19-E19</f>
        <v>894327.57173205656</v>
      </c>
      <c r="S19" s="117">
        <f>'08_2021'!M126</f>
        <v>650</v>
      </c>
    </row>
    <row r="20" spans="1:20" ht="47.25">
      <c r="A20" s="37" t="s">
        <v>82</v>
      </c>
      <c r="B20" s="9" t="s">
        <v>51</v>
      </c>
      <c r="C20" s="12">
        <v>0.42299999999999999</v>
      </c>
      <c r="D20" s="12">
        <v>1.9309999999999998</v>
      </c>
      <c r="E20" s="12">
        <f>G20/F20*1000</f>
        <v>1633456.0662364771</v>
      </c>
      <c r="F20" s="12">
        <f>'08_2021'!J127</f>
        <v>2.9830000000000005</v>
      </c>
      <c r="G20" s="12">
        <f>'08_2021'!K127/1000</f>
        <v>4872.5994455834125</v>
      </c>
      <c r="H20" s="10">
        <f t="shared" ref="H20:H23" si="7">G20</f>
        <v>4872.5994455834125</v>
      </c>
      <c r="I20" s="10">
        <f>'до 15 кВт_2021 '!I25</f>
        <v>2766816.96</v>
      </c>
      <c r="J20" s="10">
        <f t="shared" ref="J20:J23" si="8">F20</f>
        <v>2.9830000000000005</v>
      </c>
      <c r="K20" s="12">
        <f t="shared" ref="K20:K23" si="9">I20*J20/1000</f>
        <v>8253.4149916800015</v>
      </c>
      <c r="L20" s="10">
        <f t="shared" si="1"/>
        <v>2877489.6384000001</v>
      </c>
      <c r="M20" s="12">
        <f t="shared" si="5"/>
        <v>1.7789999999999999</v>
      </c>
      <c r="N20" s="12">
        <f t="shared" si="6"/>
        <v>2559.5270333567996</v>
      </c>
      <c r="O20" s="11"/>
      <c r="P20" s="11"/>
      <c r="Q20" s="50"/>
      <c r="R20" s="47">
        <f>I20-E20</f>
        <v>1133360.8937635229</v>
      </c>
      <c r="S20" s="128">
        <f>'08_2021'!M127</f>
        <v>2005.3999999999999</v>
      </c>
      <c r="T20" s="128">
        <f>G20+'до 15 кВт_2021 '!G25</f>
        <v>5010.3338520412235</v>
      </c>
    </row>
    <row r="21" spans="1:20" ht="47.25">
      <c r="A21" s="40" t="s">
        <v>103</v>
      </c>
      <c r="B21" s="9" t="s">
        <v>108</v>
      </c>
      <c r="C21" s="12">
        <v>0.753</v>
      </c>
      <c r="D21" s="12"/>
      <c r="E21" s="12"/>
      <c r="F21" s="12"/>
      <c r="G21" s="12"/>
      <c r="H21" s="10">
        <f t="shared" si="7"/>
        <v>0</v>
      </c>
      <c r="I21" s="10">
        <f>'до 15 кВт_2021 '!I26</f>
        <v>2853856.36</v>
      </c>
      <c r="J21" s="10">
        <f t="shared" si="8"/>
        <v>0</v>
      </c>
      <c r="K21" s="12">
        <f t="shared" si="9"/>
        <v>0</v>
      </c>
      <c r="L21" s="10">
        <f t="shared" si="1"/>
        <v>2968010.6143999998</v>
      </c>
      <c r="M21" s="12">
        <f t="shared" ref="M21:M22" si="10">AVERAGE(C21:D21,F21)</f>
        <v>0.753</v>
      </c>
      <c r="N21" s="12">
        <f t="shared" si="6"/>
        <v>1117.4559963216</v>
      </c>
      <c r="O21" s="11"/>
      <c r="P21" s="11"/>
      <c r="Q21" s="50"/>
      <c r="R21" s="47">
        <f>I21-E21</f>
        <v>2853856.36</v>
      </c>
    </row>
    <row r="22" spans="1:20" s="115" customFormat="1" ht="47.25">
      <c r="A22" s="31" t="s">
        <v>286</v>
      </c>
      <c r="B22" s="9" t="s">
        <v>55</v>
      </c>
      <c r="C22" s="12"/>
      <c r="D22" s="12">
        <v>0.16200000000000001</v>
      </c>
      <c r="E22" s="12">
        <f t="shared" si="4"/>
        <v>1945364.5222929928</v>
      </c>
      <c r="F22" s="12">
        <f>'08_2021'!J128</f>
        <v>1.4E-2</v>
      </c>
      <c r="G22" s="12">
        <f>'08_2021'!K128/1000</f>
        <v>27.235103312101902</v>
      </c>
      <c r="H22" s="10">
        <f>G22</f>
        <v>27.235103312101902</v>
      </c>
      <c r="I22" s="10">
        <f>'до 15 кВт_2021 '!I27</f>
        <v>3144702.22</v>
      </c>
      <c r="J22" s="10">
        <f>F22</f>
        <v>1.4E-2</v>
      </c>
      <c r="K22" s="12">
        <f t="shared" si="9"/>
        <v>44.025831080000003</v>
      </c>
      <c r="L22" s="10">
        <f t="shared" si="1"/>
        <v>3270490.3088000002</v>
      </c>
      <c r="M22" s="12">
        <f t="shared" si="10"/>
        <v>8.8000000000000009E-2</v>
      </c>
      <c r="N22" s="12">
        <f t="shared" si="6"/>
        <v>143.90157358720003</v>
      </c>
      <c r="O22" s="11"/>
      <c r="P22" s="11"/>
      <c r="Q22" s="50"/>
      <c r="R22" s="119"/>
      <c r="S22" s="117">
        <f>'08_2021'!M128</f>
        <v>120</v>
      </c>
    </row>
    <row r="23" spans="1:20" ht="47.25">
      <c r="A23" s="37" t="s">
        <v>83</v>
      </c>
      <c r="B23" s="9" t="s">
        <v>56</v>
      </c>
      <c r="C23" s="12">
        <v>0.32</v>
      </c>
      <c r="D23" s="12">
        <v>0.71099999999999997</v>
      </c>
      <c r="E23" s="12">
        <f t="shared" si="4"/>
        <v>2226070.5789884869</v>
      </c>
      <c r="F23" s="12">
        <f>'08_2021'!J129</f>
        <v>0.54100000000000004</v>
      </c>
      <c r="G23" s="12">
        <f>'08_2021'!K129/1000</f>
        <v>1204.3041832327715</v>
      </c>
      <c r="H23" s="10">
        <f t="shared" si="7"/>
        <v>1204.3041832327715</v>
      </c>
      <c r="I23" s="10">
        <v>3171943.44</v>
      </c>
      <c r="J23" s="10">
        <f t="shared" si="8"/>
        <v>0.54100000000000004</v>
      </c>
      <c r="K23" s="12">
        <f t="shared" si="9"/>
        <v>1716.0214010400002</v>
      </c>
      <c r="L23" s="10">
        <f t="shared" si="1"/>
        <v>3298821.1776000001</v>
      </c>
      <c r="M23" s="12">
        <f t="shared" si="5"/>
        <v>0.52400000000000002</v>
      </c>
      <c r="N23" s="12">
        <f t="shared" si="6"/>
        <v>864.29114853120007</v>
      </c>
      <c r="O23" s="11"/>
      <c r="P23" s="11"/>
      <c r="Q23" s="50"/>
      <c r="R23" s="46"/>
      <c r="S23" s="117">
        <f>'08_2021'!M129</f>
        <v>270</v>
      </c>
    </row>
    <row r="24" spans="1:20" s="8" customFormat="1" ht="31.5">
      <c r="A24" s="4" t="s">
        <v>36</v>
      </c>
      <c r="B24" s="55" t="s">
        <v>84</v>
      </c>
      <c r="C24" s="6">
        <v>1E-4</v>
      </c>
      <c r="D24" s="28">
        <v>1</v>
      </c>
      <c r="E24" s="28">
        <f>E25</f>
        <v>0</v>
      </c>
      <c r="F24" s="28">
        <f t="shared" ref="F24:Q24" si="11">F25</f>
        <v>0</v>
      </c>
      <c r="G24" s="28">
        <f t="shared" si="11"/>
        <v>0</v>
      </c>
      <c r="H24" s="28">
        <f t="shared" si="11"/>
        <v>0</v>
      </c>
      <c r="I24" s="28">
        <f t="shared" si="11"/>
        <v>0</v>
      </c>
      <c r="J24" s="28">
        <f t="shared" si="11"/>
        <v>0</v>
      </c>
      <c r="K24" s="28">
        <f t="shared" si="11"/>
        <v>0</v>
      </c>
      <c r="L24" s="28">
        <f t="shared" si="11"/>
        <v>0</v>
      </c>
      <c r="M24" s="28">
        <f t="shared" si="11"/>
        <v>1</v>
      </c>
      <c r="N24" s="28">
        <f t="shared" si="11"/>
        <v>0</v>
      </c>
      <c r="O24" s="28">
        <f t="shared" si="11"/>
        <v>0</v>
      </c>
      <c r="P24" s="28">
        <f t="shared" si="11"/>
        <v>0</v>
      </c>
      <c r="Q24" s="28">
        <f t="shared" si="11"/>
        <v>0</v>
      </c>
      <c r="R24" s="52"/>
    </row>
    <row r="25" spans="1:20" s="115" customFormat="1" ht="31.5">
      <c r="A25" s="31"/>
      <c r="B25" s="43" t="s">
        <v>301</v>
      </c>
      <c r="C25" s="10"/>
      <c r="D25" s="10">
        <v>1</v>
      </c>
      <c r="E25" s="12"/>
      <c r="F25" s="10"/>
      <c r="G25" s="10"/>
      <c r="H25" s="10">
        <f>G25</f>
        <v>0</v>
      </c>
      <c r="I25" s="10"/>
      <c r="J25" s="10"/>
      <c r="K25" s="12">
        <f>I25*J25/1000</f>
        <v>0</v>
      </c>
      <c r="L25" s="10">
        <f t="shared" ref="L25" si="12">I25*1.036</f>
        <v>0</v>
      </c>
      <c r="M25" s="12">
        <f t="shared" ref="M25" si="13">AVERAGE(C25:D25,F25)</f>
        <v>1</v>
      </c>
      <c r="N25" s="10">
        <f>L25*M25/1000*1.04</f>
        <v>0</v>
      </c>
      <c r="O25" s="11"/>
      <c r="P25" s="11"/>
      <c r="Q25" s="50"/>
      <c r="R25" s="116"/>
    </row>
    <row r="26" spans="1:20" s="8" customFormat="1" ht="94.5">
      <c r="A26" s="4" t="s">
        <v>59</v>
      </c>
      <c r="B26" s="55" t="s">
        <v>62</v>
      </c>
      <c r="C26" s="6">
        <v>800</v>
      </c>
      <c r="D26" s="28">
        <v>1830</v>
      </c>
      <c r="E26" s="28">
        <f>E29+E27+E28</f>
        <v>2415.2099250000001</v>
      </c>
      <c r="F26" s="28">
        <f t="shared" ref="F26:N26" si="14">F29+F27+F28</f>
        <v>400</v>
      </c>
      <c r="G26" s="28">
        <f t="shared" si="14"/>
        <v>966.08397000000002</v>
      </c>
      <c r="H26" s="28">
        <f t="shared" si="14"/>
        <v>966.08397000000002</v>
      </c>
      <c r="I26" s="28">
        <f t="shared" si="14"/>
        <v>19889.620000000003</v>
      </c>
      <c r="J26" s="28">
        <f t="shared" si="14"/>
        <v>1030</v>
      </c>
      <c r="K26" s="28">
        <f t="shared" si="14"/>
        <v>4204.4880000000003</v>
      </c>
      <c r="L26" s="28">
        <f t="shared" si="14"/>
        <v>20685.204800000003</v>
      </c>
      <c r="M26" s="28">
        <f t="shared" si="14"/>
        <v>1696.6666666666665</v>
      </c>
      <c r="N26" s="28">
        <f t="shared" si="14"/>
        <v>5183.8654400000005</v>
      </c>
      <c r="O26" s="7"/>
      <c r="P26" s="7"/>
      <c r="Q26" s="49"/>
      <c r="R26" s="52"/>
    </row>
    <row r="27" spans="1:20" s="115" customFormat="1" ht="31.5">
      <c r="A27" s="130" t="s">
        <v>296</v>
      </c>
      <c r="B27" s="43" t="s">
        <v>297</v>
      </c>
      <c r="C27" s="10">
        <v>400</v>
      </c>
      <c r="D27" s="10">
        <v>1200</v>
      </c>
      <c r="E27" s="12">
        <f>G27/F27*1000</f>
        <v>2415.2099250000001</v>
      </c>
      <c r="F27" s="10">
        <v>400</v>
      </c>
      <c r="G27" s="16">
        <f>'08_2021'!K130/1000</f>
        <v>966.08397000000002</v>
      </c>
      <c r="H27" s="10">
        <f>G27</f>
        <v>966.08397000000002</v>
      </c>
      <c r="I27" s="10">
        <v>3963.63</v>
      </c>
      <c r="J27" s="10">
        <f>F27</f>
        <v>400</v>
      </c>
      <c r="K27" s="12">
        <f>I27*J27/1000</f>
        <v>1585.452</v>
      </c>
      <c r="L27" s="10">
        <f t="shared" ref="L27:L29" si="15">I27*1.04</f>
        <v>4122.1752000000006</v>
      </c>
      <c r="M27" s="12">
        <f>AVERAGE(C27:D27,F27)</f>
        <v>666.66666666666663</v>
      </c>
      <c r="N27" s="10">
        <f>L27*M27/1000*0.5</f>
        <v>1374.0584000000001</v>
      </c>
      <c r="O27" s="11"/>
      <c r="P27" s="11"/>
      <c r="Q27" s="50"/>
      <c r="R27" s="56"/>
    </row>
    <row r="28" spans="1:20" s="115" customFormat="1" ht="31.5">
      <c r="A28" s="31" t="s">
        <v>295</v>
      </c>
      <c r="B28" s="43" t="s">
        <v>300</v>
      </c>
      <c r="C28" s="10"/>
      <c r="D28" s="10">
        <v>630</v>
      </c>
      <c r="E28" s="12"/>
      <c r="F28" s="10"/>
      <c r="G28" s="16"/>
      <c r="H28" s="10">
        <f>G28</f>
        <v>0</v>
      </c>
      <c r="I28" s="10">
        <v>4157.2</v>
      </c>
      <c r="J28" s="10">
        <v>630</v>
      </c>
      <c r="K28" s="12">
        <f t="shared" ref="K28:K29" si="16">I28*J28/1000</f>
        <v>2619.0360000000001</v>
      </c>
      <c r="L28" s="10">
        <f t="shared" si="15"/>
        <v>4323.4880000000003</v>
      </c>
      <c r="M28" s="12">
        <f>AVERAGE(C28:D28,F28)</f>
        <v>630</v>
      </c>
      <c r="N28" s="10">
        <f t="shared" ref="N28:N29" si="17">L28*M28/1000*0.5</f>
        <v>1361.8987200000001</v>
      </c>
      <c r="O28" s="11"/>
      <c r="P28" s="11"/>
      <c r="Q28" s="50"/>
      <c r="R28" s="56"/>
    </row>
    <row r="29" spans="1:20" s="115" customFormat="1" ht="31.5">
      <c r="A29" s="31" t="s">
        <v>298</v>
      </c>
      <c r="B29" s="43" t="s">
        <v>299</v>
      </c>
      <c r="C29" s="10">
        <v>400</v>
      </c>
      <c r="D29" s="10"/>
      <c r="E29" s="12"/>
      <c r="F29" s="10"/>
      <c r="G29" s="16"/>
      <c r="H29" s="10"/>
      <c r="I29" s="10">
        <v>11768.79</v>
      </c>
      <c r="J29" s="10">
        <f>F29</f>
        <v>0</v>
      </c>
      <c r="K29" s="12">
        <f t="shared" si="16"/>
        <v>0</v>
      </c>
      <c r="L29" s="10">
        <f t="shared" si="15"/>
        <v>12239.5416</v>
      </c>
      <c r="M29" s="12">
        <f>AVERAGE(C29:D29,F29)</f>
        <v>400</v>
      </c>
      <c r="N29" s="10">
        <f t="shared" si="17"/>
        <v>2447.9083200000005</v>
      </c>
      <c r="O29" s="11"/>
      <c r="P29" s="11"/>
      <c r="Q29" s="50"/>
      <c r="R29" s="56"/>
    </row>
    <row r="30" spans="1:20" s="8" customFormat="1" ht="63">
      <c r="A30" s="4" t="s">
        <v>61</v>
      </c>
      <c r="B30" s="55" t="s">
        <v>65</v>
      </c>
      <c r="C30" s="6">
        <v>800</v>
      </c>
      <c r="D30" s="28">
        <v>0</v>
      </c>
      <c r="E30" s="28">
        <f t="shared" ref="E30:K30" si="18">E32+E31</f>
        <v>0</v>
      </c>
      <c r="F30" s="28">
        <f t="shared" si="18"/>
        <v>0</v>
      </c>
      <c r="G30" s="28">
        <f t="shared" si="18"/>
        <v>0</v>
      </c>
      <c r="H30" s="28">
        <f t="shared" si="18"/>
        <v>0</v>
      </c>
      <c r="I30" s="28">
        <f t="shared" si="18"/>
        <v>0</v>
      </c>
      <c r="J30" s="28">
        <f t="shared" si="18"/>
        <v>0</v>
      </c>
      <c r="K30" s="28">
        <f t="shared" si="18"/>
        <v>0</v>
      </c>
      <c r="L30" s="6">
        <v>7520.47</v>
      </c>
      <c r="M30" s="28">
        <v>160</v>
      </c>
      <c r="N30" s="6">
        <f>L30*M30/1000*1.04</f>
        <v>1251.4062080000001</v>
      </c>
      <c r="O30" s="7">
        <v>334</v>
      </c>
      <c r="P30" s="7">
        <v>93.6</v>
      </c>
      <c r="Q30" s="49">
        <f>((O30*P30)*5.69)/1000</f>
        <v>177.88305600000001</v>
      </c>
      <c r="R30" s="52"/>
    </row>
    <row r="31" spans="1:20" s="57" customFormat="1" ht="15.75" hidden="1">
      <c r="A31" s="53" t="s">
        <v>155</v>
      </c>
      <c r="B31" s="43"/>
      <c r="C31" s="10"/>
      <c r="D31" s="10"/>
      <c r="E31" s="12"/>
      <c r="F31" s="10"/>
      <c r="G31" s="16"/>
      <c r="H31" s="10"/>
      <c r="I31" s="10"/>
      <c r="J31" s="10"/>
      <c r="K31" s="12"/>
      <c r="L31" s="10"/>
      <c r="M31" s="12"/>
      <c r="N31" s="10"/>
      <c r="O31" s="11"/>
      <c r="P31" s="11"/>
      <c r="Q31" s="50"/>
      <c r="R31" s="56"/>
    </row>
    <row r="32" spans="1:20" s="57" customFormat="1" ht="15.75" hidden="1">
      <c r="A32" s="31" t="s">
        <v>109</v>
      </c>
      <c r="B32" s="43"/>
      <c r="C32" s="10"/>
      <c r="D32" s="10"/>
      <c r="E32" s="12"/>
      <c r="F32" s="10"/>
      <c r="G32" s="16"/>
      <c r="H32" s="10"/>
      <c r="I32" s="10"/>
      <c r="J32" s="10"/>
      <c r="K32" s="12"/>
      <c r="L32" s="10"/>
      <c r="M32" s="12"/>
      <c r="N32" s="10"/>
      <c r="O32" s="11"/>
      <c r="P32" s="11"/>
      <c r="Q32" s="50"/>
      <c r="R32" s="56"/>
    </row>
    <row r="33" spans="1:22" ht="47.25">
      <c r="A33" s="37" t="s">
        <v>64</v>
      </c>
      <c r="B33" s="43" t="s">
        <v>85</v>
      </c>
      <c r="C33" s="10"/>
      <c r="D33" s="10"/>
      <c r="E33" s="12"/>
      <c r="F33" s="10"/>
      <c r="G33" s="16"/>
      <c r="H33" s="16"/>
      <c r="I33" s="10"/>
      <c r="J33" s="10"/>
      <c r="K33" s="12"/>
      <c r="L33" s="10"/>
      <c r="M33" s="12"/>
      <c r="N33" s="10"/>
      <c r="O33" s="11"/>
      <c r="P33" s="11"/>
      <c r="Q33" s="50"/>
      <c r="R33" s="46"/>
    </row>
    <row r="34" spans="1:22" s="8" customFormat="1" ht="94.5">
      <c r="A34" s="4" t="s">
        <v>67</v>
      </c>
      <c r="B34" s="5" t="s">
        <v>86</v>
      </c>
      <c r="C34" s="28" t="s">
        <v>15</v>
      </c>
      <c r="D34" s="28" t="s">
        <v>15</v>
      </c>
      <c r="E34" s="6" t="s">
        <v>15</v>
      </c>
      <c r="F34" s="28" t="s">
        <v>15</v>
      </c>
      <c r="G34" s="28">
        <f>G11</f>
        <v>11856.808980000002</v>
      </c>
      <c r="H34" s="28">
        <f>H11</f>
        <v>11856.808980000002</v>
      </c>
      <c r="I34" s="6" t="s">
        <v>15</v>
      </c>
      <c r="J34" s="6" t="s">
        <v>15</v>
      </c>
      <c r="K34" s="28">
        <f>K11</f>
        <v>21564.082085720001</v>
      </c>
      <c r="L34" s="6" t="s">
        <v>15</v>
      </c>
      <c r="M34" s="28" t="s">
        <v>15</v>
      </c>
      <c r="N34" s="28">
        <f>N11</f>
        <v>11487.993765308665</v>
      </c>
      <c r="O34" s="7" t="s">
        <v>15</v>
      </c>
      <c r="P34" s="7" t="s">
        <v>15</v>
      </c>
      <c r="Q34" s="49">
        <f>SUM(Q35:Q54)</f>
        <v>3397.1050686726662</v>
      </c>
      <c r="R34" s="52"/>
      <c r="S34" s="133">
        <f>G34+'до 15 кВт_2021 '!G17-SUM('[9]Приложение №1 2020'!$G$9:$G$27)</f>
        <v>2764.3496251967154</v>
      </c>
      <c r="V34" s="133"/>
    </row>
    <row r="35" spans="1:22" ht="15.75">
      <c r="A35" s="32" t="s">
        <v>70</v>
      </c>
      <c r="B35" s="33" t="s">
        <v>76</v>
      </c>
      <c r="C35" s="34">
        <v>0</v>
      </c>
      <c r="D35" s="34">
        <v>8.2480000000000011</v>
      </c>
      <c r="E35" s="34"/>
      <c r="F35" s="34">
        <f>SUM(F36:F39)</f>
        <v>6.6269999999999998</v>
      </c>
      <c r="G35" s="34">
        <f>SUM(G36:G39)</f>
        <v>3372.101227048699</v>
      </c>
      <c r="H35" s="34">
        <f>SUM(H36:H39)</f>
        <v>3372.101227048699</v>
      </c>
      <c r="I35" s="34"/>
      <c r="J35" s="34">
        <f>SUM(J36:J39)</f>
        <v>6.6269999999999998</v>
      </c>
      <c r="K35" s="34">
        <f>SUM(K36:K39)</f>
        <v>9378.7504345199995</v>
      </c>
      <c r="L35" s="34">
        <f>AVERAGE(L36:L37)</f>
        <v>1413542.7904000001</v>
      </c>
      <c r="M35" s="34">
        <f>M12</f>
        <v>6.538333333333334</v>
      </c>
      <c r="N35" s="34">
        <f>N12</f>
        <v>4831.7648828626661</v>
      </c>
      <c r="O35" s="11">
        <f>O12*0.5</f>
        <v>95983</v>
      </c>
      <c r="P35" s="11">
        <f>P12</f>
        <v>0.31666666666666665</v>
      </c>
      <c r="Q35" s="50">
        <f>O35*P35/1000*3.88</f>
        <v>117.93111266666665</v>
      </c>
      <c r="R35" s="46"/>
    </row>
    <row r="36" spans="1:22" ht="47.25">
      <c r="A36" s="31" t="s">
        <v>87</v>
      </c>
      <c r="B36" s="9" t="s">
        <v>77</v>
      </c>
      <c r="C36" s="12">
        <f>C13</f>
        <v>1.8149999999999999</v>
      </c>
      <c r="D36" s="12">
        <v>4.3580000000000005</v>
      </c>
      <c r="E36" s="12">
        <f t="shared" ref="E36:L36" si="19">E13</f>
        <v>345740.2304089219</v>
      </c>
      <c r="F36" s="12">
        <f t="shared" si="19"/>
        <v>1.5539999999999998</v>
      </c>
      <c r="G36" s="12">
        <f t="shared" si="19"/>
        <v>537.28031805546459</v>
      </c>
      <c r="H36" s="12">
        <f t="shared" si="19"/>
        <v>537.28031805546459</v>
      </c>
      <c r="I36" s="12">
        <f t="shared" si="19"/>
        <v>1254076.3600000001</v>
      </c>
      <c r="J36" s="12">
        <f t="shared" si="19"/>
        <v>1.5539999999999998</v>
      </c>
      <c r="K36" s="12">
        <f t="shared" si="19"/>
        <v>1948.83466344</v>
      </c>
      <c r="L36" s="12">
        <f t="shared" si="19"/>
        <v>1304239.4144000001</v>
      </c>
      <c r="M36" s="12">
        <f>M13</f>
        <v>2.5756666666666668</v>
      </c>
      <c r="N36" s="12">
        <f>N13</f>
        <v>1679.6429925114669</v>
      </c>
      <c r="O36" s="12">
        <f>O13</f>
        <v>0</v>
      </c>
      <c r="P36" s="12">
        <f>P13</f>
        <v>0</v>
      </c>
      <c r="Q36" s="12">
        <f>Q13</f>
        <v>0</v>
      </c>
      <c r="R36" s="46"/>
    </row>
    <row r="37" spans="1:22" ht="47.25">
      <c r="A37" s="31" t="s">
        <v>88</v>
      </c>
      <c r="B37" s="9" t="s">
        <v>42</v>
      </c>
      <c r="C37" s="12">
        <f t="shared" ref="C37:N38" si="20">C14</f>
        <v>0.85499999999999998</v>
      </c>
      <c r="D37" s="12">
        <v>3.89</v>
      </c>
      <c r="E37" s="12">
        <f t="shared" ref="E37:Q37" si="21">E14</f>
        <v>562236.19892569119</v>
      </c>
      <c r="F37" s="12">
        <f t="shared" si="21"/>
        <v>4.9530000000000003</v>
      </c>
      <c r="G37" s="12">
        <f t="shared" si="21"/>
        <v>2784.7558932789484</v>
      </c>
      <c r="H37" s="12">
        <f t="shared" si="21"/>
        <v>2784.7558932789484</v>
      </c>
      <c r="I37" s="12">
        <f t="shared" si="21"/>
        <v>1464275.16</v>
      </c>
      <c r="J37" s="12">
        <f t="shared" si="21"/>
        <v>4.9530000000000003</v>
      </c>
      <c r="K37" s="12">
        <f t="shared" si="21"/>
        <v>7252.5548674799993</v>
      </c>
      <c r="L37" s="12">
        <f t="shared" si="21"/>
        <v>1522846.1664</v>
      </c>
      <c r="M37" s="12">
        <f t="shared" si="21"/>
        <v>3.2326666666666668</v>
      </c>
      <c r="N37" s="12">
        <f t="shared" si="21"/>
        <v>2461.4270202911998</v>
      </c>
      <c r="O37" s="12">
        <f t="shared" si="21"/>
        <v>0</v>
      </c>
      <c r="P37" s="12">
        <f t="shared" si="21"/>
        <v>0</v>
      </c>
      <c r="Q37" s="12">
        <f t="shared" si="21"/>
        <v>0</v>
      </c>
      <c r="R37" s="46"/>
    </row>
    <row r="38" spans="1:22" ht="47.25">
      <c r="A38" s="31" t="s">
        <v>546</v>
      </c>
      <c r="B38" s="9" t="str">
        <f>B15</f>
        <v>строительство воздушных линий, на уровне напряжения 0,4-1кВ (СИП от 100 до 200мм)</v>
      </c>
      <c r="C38" s="12">
        <f t="shared" si="20"/>
        <v>0</v>
      </c>
      <c r="D38" s="12">
        <f t="shared" si="20"/>
        <v>0</v>
      </c>
      <c r="E38" s="12">
        <f t="shared" si="20"/>
        <v>417208.4642857142</v>
      </c>
      <c r="F38" s="12">
        <f t="shared" si="20"/>
        <v>0.12</v>
      </c>
      <c r="G38" s="12">
        <f t="shared" si="20"/>
        <v>50.065015714285707</v>
      </c>
      <c r="H38" s="12">
        <f t="shared" si="20"/>
        <v>50.065015714285707</v>
      </c>
      <c r="I38" s="12">
        <f t="shared" si="20"/>
        <v>1478007.53</v>
      </c>
      <c r="J38" s="12">
        <f t="shared" si="20"/>
        <v>0.12</v>
      </c>
      <c r="K38" s="12">
        <f t="shared" si="20"/>
        <v>177.3609036</v>
      </c>
      <c r="L38" s="12">
        <f t="shared" si="20"/>
        <v>1537127.8312000001</v>
      </c>
      <c r="M38" s="12">
        <f t="shared" si="20"/>
        <v>0.12</v>
      </c>
      <c r="N38" s="12">
        <f t="shared" si="20"/>
        <v>92.227669871999993</v>
      </c>
      <c r="O38" s="11"/>
      <c r="P38" s="11"/>
      <c r="Q38" s="50"/>
      <c r="R38" s="46"/>
    </row>
    <row r="39" spans="1:22" s="158" customFormat="1" ht="47.25">
      <c r="A39" s="31" t="s">
        <v>547</v>
      </c>
      <c r="B39" s="9" t="str">
        <f>B16</f>
        <v>строительство воздушных линий, на уровне напряжения 1-20кВ (СИП от 50 до 100мм)</v>
      </c>
      <c r="C39" s="12">
        <f t="shared" ref="C39:N39" si="22">C16</f>
        <v>0</v>
      </c>
      <c r="D39" s="12">
        <f t="shared" si="22"/>
        <v>0.61</v>
      </c>
      <c r="E39" s="12">
        <f t="shared" si="22"/>
        <v>0</v>
      </c>
      <c r="F39" s="12">
        <f t="shared" si="22"/>
        <v>0</v>
      </c>
      <c r="G39" s="12">
        <f t="shared" si="22"/>
        <v>0</v>
      </c>
      <c r="H39" s="12">
        <f t="shared" si="22"/>
        <v>0</v>
      </c>
      <c r="I39" s="12">
        <f t="shared" si="22"/>
        <v>1886718.79</v>
      </c>
      <c r="J39" s="12">
        <f t="shared" si="22"/>
        <v>0</v>
      </c>
      <c r="K39" s="12">
        <f t="shared" si="22"/>
        <v>0</v>
      </c>
      <c r="L39" s="12">
        <f t="shared" si="22"/>
        <v>1962187.5416000001</v>
      </c>
      <c r="M39" s="12">
        <f t="shared" si="22"/>
        <v>0.61</v>
      </c>
      <c r="N39" s="12">
        <f t="shared" si="22"/>
        <v>598.46720018799999</v>
      </c>
      <c r="O39" s="11"/>
      <c r="P39" s="11"/>
      <c r="Q39" s="50"/>
      <c r="R39" s="153"/>
    </row>
    <row r="40" spans="1:22" ht="15.75">
      <c r="A40" s="32" t="s">
        <v>89</v>
      </c>
      <c r="B40" s="33" t="s">
        <v>79</v>
      </c>
      <c r="C40" s="34"/>
      <c r="D40" s="34">
        <v>3.3769999999999998</v>
      </c>
      <c r="E40" s="34">
        <f>E17*0.5</f>
        <v>889552.79072323756</v>
      </c>
      <c r="F40" s="34">
        <f>SUM(F41:F46)</f>
        <v>4.5480000000000009</v>
      </c>
      <c r="G40" s="34">
        <f>SUM(G41:G46)</f>
        <v>7518.623782951302</v>
      </c>
      <c r="H40" s="34">
        <f>SUM(H41:H46)</f>
        <v>7518.623782951302</v>
      </c>
      <c r="I40" s="34">
        <f>AVERAGE(I41:I46)</f>
        <v>2681391.4300000002</v>
      </c>
      <c r="J40" s="34">
        <f>SUM(J41:J46)</f>
        <v>4.5480000000000009</v>
      </c>
      <c r="K40" s="34">
        <f>SUM(K41:K43)</f>
        <v>10425.284419080002</v>
      </c>
      <c r="L40" s="34">
        <f>AVERAGE(L41:L46)</f>
        <v>2788647.0872</v>
      </c>
      <c r="M40" s="34">
        <f>M17</f>
        <v>3.7890000000000001</v>
      </c>
      <c r="N40" s="34">
        <f>SUM(N41:N43)</f>
        <v>3279.1739560059996</v>
      </c>
      <c r="O40" s="11">
        <f>O17*0.5</f>
        <v>137290.5</v>
      </c>
      <c r="P40" s="11">
        <f>P17</f>
        <v>0.13</v>
      </c>
      <c r="Q40" s="50">
        <f>N40</f>
        <v>3279.1739560059996</v>
      </c>
      <c r="R40" s="46"/>
    </row>
    <row r="41" spans="1:22" ht="31.5">
      <c r="A41" s="37" t="s">
        <v>90</v>
      </c>
      <c r="B41" s="9" t="s">
        <v>40</v>
      </c>
      <c r="C41" s="12">
        <f t="shared" ref="C41" si="23">C18</f>
        <v>0</v>
      </c>
      <c r="D41" s="12">
        <v>8.299999999999999E-2</v>
      </c>
      <c r="E41" s="12">
        <f t="shared" ref="E41:N41" si="24">E18</f>
        <v>1729385.0232558141</v>
      </c>
      <c r="F41" s="12">
        <f t="shared" si="24"/>
        <v>0.215</v>
      </c>
      <c r="G41" s="12">
        <f t="shared" si="24"/>
        <v>371.81778000000003</v>
      </c>
      <c r="H41" s="12">
        <f t="shared" si="24"/>
        <v>371.81778000000003</v>
      </c>
      <c r="I41" s="12">
        <f t="shared" si="24"/>
        <v>1945170.87</v>
      </c>
      <c r="J41" s="12">
        <f>J18</f>
        <v>0.215</v>
      </c>
      <c r="K41" s="12">
        <f>K18</f>
        <v>418.21173705000001</v>
      </c>
      <c r="L41" s="12">
        <f t="shared" si="24"/>
        <v>2022977.7048000002</v>
      </c>
      <c r="M41" s="12">
        <f t="shared" si="24"/>
        <v>0.14899999999999999</v>
      </c>
      <c r="N41" s="12">
        <f t="shared" si="24"/>
        <v>150.71183900760002</v>
      </c>
      <c r="O41" s="11"/>
      <c r="P41" s="11"/>
      <c r="Q41" s="50"/>
      <c r="R41" s="46"/>
    </row>
    <row r="42" spans="1:22" ht="47.25">
      <c r="A42" s="37" t="s">
        <v>93</v>
      </c>
      <c r="B42" s="9" t="s">
        <v>50</v>
      </c>
      <c r="C42" s="12">
        <f t="shared" ref="C42" si="25">C19</f>
        <v>0.20300000000000001</v>
      </c>
      <c r="D42" s="12">
        <v>0.49000000000000005</v>
      </c>
      <c r="E42" s="12">
        <f t="shared" ref="E42:N44" si="26">E19</f>
        <v>1311531.1582679434</v>
      </c>
      <c r="F42" s="12">
        <f t="shared" si="26"/>
        <v>0.79500000000000015</v>
      </c>
      <c r="G42" s="12">
        <f t="shared" si="26"/>
        <v>1042.6672708230153</v>
      </c>
      <c r="H42" s="12">
        <f t="shared" si="26"/>
        <v>1042.6672708230153</v>
      </c>
      <c r="I42" s="12">
        <f t="shared" si="26"/>
        <v>2205858.73</v>
      </c>
      <c r="J42" s="12">
        <f>J19</f>
        <v>0.79500000000000015</v>
      </c>
      <c r="K42" s="12">
        <f t="shared" si="26"/>
        <v>1753.6576903500004</v>
      </c>
      <c r="L42" s="12">
        <f t="shared" si="26"/>
        <v>2294093.0792</v>
      </c>
      <c r="M42" s="12">
        <f t="shared" si="26"/>
        <v>0.49600000000000005</v>
      </c>
      <c r="N42" s="12">
        <f t="shared" si="26"/>
        <v>568.93508364160004</v>
      </c>
      <c r="O42" s="11"/>
      <c r="P42" s="11"/>
      <c r="Q42" s="50"/>
      <c r="R42" s="46"/>
    </row>
    <row r="43" spans="1:22" ht="47.25">
      <c r="A43" s="37" t="s">
        <v>91</v>
      </c>
      <c r="B43" s="9" t="s">
        <v>51</v>
      </c>
      <c r="C43" s="12">
        <f t="shared" ref="C43" si="27">C20</f>
        <v>0.42299999999999999</v>
      </c>
      <c r="D43" s="12">
        <v>1.9309999999999998</v>
      </c>
      <c r="E43" s="12">
        <f t="shared" si="26"/>
        <v>1633456.0662364771</v>
      </c>
      <c r="F43" s="12">
        <f t="shared" si="26"/>
        <v>2.9830000000000005</v>
      </c>
      <c r="G43" s="12">
        <f t="shared" si="26"/>
        <v>4872.5994455834125</v>
      </c>
      <c r="H43" s="12">
        <f t="shared" si="26"/>
        <v>4872.5994455834125</v>
      </c>
      <c r="I43" s="12">
        <f t="shared" si="26"/>
        <v>2766816.96</v>
      </c>
      <c r="J43" s="12">
        <f>J20</f>
        <v>2.9830000000000005</v>
      </c>
      <c r="K43" s="12">
        <f>K20</f>
        <v>8253.4149916800015</v>
      </c>
      <c r="L43" s="12">
        <f t="shared" si="26"/>
        <v>2877489.6384000001</v>
      </c>
      <c r="M43" s="12">
        <f t="shared" si="26"/>
        <v>1.7789999999999999</v>
      </c>
      <c r="N43" s="12">
        <f t="shared" si="26"/>
        <v>2559.5270333567996</v>
      </c>
      <c r="O43" s="11"/>
      <c r="P43" s="11"/>
      <c r="Q43" s="50"/>
      <c r="R43" s="46"/>
    </row>
    <row r="44" spans="1:22" ht="47.25">
      <c r="A44" s="40" t="s">
        <v>104</v>
      </c>
      <c r="B44" s="9" t="str">
        <f>B21</f>
        <v>строительство кабельных линий, на уровне напряжения 0,4-1кВ (свыше 200мм)</v>
      </c>
      <c r="C44" s="12">
        <f t="shared" ref="C44" si="28">C21</f>
        <v>0.753</v>
      </c>
      <c r="D44" s="12">
        <v>0</v>
      </c>
      <c r="E44" s="12">
        <f t="shared" si="26"/>
        <v>0</v>
      </c>
      <c r="F44" s="12">
        <f t="shared" si="26"/>
        <v>0</v>
      </c>
      <c r="G44" s="12">
        <f t="shared" si="26"/>
        <v>0</v>
      </c>
      <c r="H44" s="12">
        <f t="shared" si="26"/>
        <v>0</v>
      </c>
      <c r="I44" s="12">
        <f t="shared" si="26"/>
        <v>2853856.36</v>
      </c>
      <c r="J44" s="12">
        <f>J21</f>
        <v>0</v>
      </c>
      <c r="K44" s="12">
        <f t="shared" si="26"/>
        <v>0</v>
      </c>
      <c r="L44" s="12">
        <f t="shared" si="26"/>
        <v>2968010.6143999998</v>
      </c>
      <c r="M44" s="12">
        <f t="shared" si="26"/>
        <v>0.753</v>
      </c>
      <c r="N44" s="12">
        <f t="shared" si="26"/>
        <v>1117.4559963216</v>
      </c>
      <c r="O44" s="11"/>
      <c r="P44" s="11"/>
      <c r="Q44" s="50"/>
      <c r="R44" s="46"/>
    </row>
    <row r="45" spans="1:22" s="115" customFormat="1" ht="47.25">
      <c r="A45" s="130" t="s">
        <v>303</v>
      </c>
      <c r="B45" s="9" t="str">
        <f>B22</f>
        <v>строительство кабельных линий, на уровне напряжения 6-10кВ (от 50 до 100мм)</v>
      </c>
      <c r="C45" s="12">
        <f t="shared" ref="C45" si="29">C22</f>
        <v>0</v>
      </c>
      <c r="D45" s="12">
        <v>0.16200000000000001</v>
      </c>
      <c r="E45" s="12">
        <f t="shared" ref="E45:N45" si="30">E22</f>
        <v>1945364.5222929928</v>
      </c>
      <c r="F45" s="12">
        <f t="shared" si="30"/>
        <v>1.4E-2</v>
      </c>
      <c r="G45" s="12">
        <f t="shared" si="30"/>
        <v>27.235103312101902</v>
      </c>
      <c r="H45" s="12">
        <f t="shared" si="30"/>
        <v>27.235103312101902</v>
      </c>
      <c r="I45" s="12">
        <f t="shared" si="30"/>
        <v>3144702.22</v>
      </c>
      <c r="J45" s="12">
        <f>F45</f>
        <v>1.4E-2</v>
      </c>
      <c r="K45" s="12">
        <f t="shared" si="30"/>
        <v>44.025831080000003</v>
      </c>
      <c r="L45" s="12">
        <f t="shared" si="30"/>
        <v>3270490.3088000002</v>
      </c>
      <c r="M45" s="12">
        <f t="shared" si="30"/>
        <v>8.8000000000000009E-2</v>
      </c>
      <c r="N45" s="12">
        <f t="shared" si="30"/>
        <v>143.90157358720003</v>
      </c>
      <c r="O45" s="11"/>
      <c r="P45" s="11"/>
      <c r="Q45" s="50"/>
      <c r="R45" s="116"/>
    </row>
    <row r="46" spans="1:22" ht="47.25">
      <c r="A46" s="37" t="s">
        <v>92</v>
      </c>
      <c r="B46" s="9" t="s">
        <v>56</v>
      </c>
      <c r="C46" s="12">
        <f t="shared" ref="C46" si="31">C23</f>
        <v>0.32</v>
      </c>
      <c r="D46" s="12">
        <v>0.71099999999999997</v>
      </c>
      <c r="E46" s="12">
        <f t="shared" ref="E46:N46" si="32">E23</f>
        <v>2226070.5789884869</v>
      </c>
      <c r="F46" s="12">
        <f t="shared" si="32"/>
        <v>0.54100000000000004</v>
      </c>
      <c r="G46" s="12">
        <f t="shared" si="32"/>
        <v>1204.3041832327715</v>
      </c>
      <c r="H46" s="12">
        <f t="shared" si="32"/>
        <v>1204.3041832327715</v>
      </c>
      <c r="I46" s="12">
        <f t="shared" si="32"/>
        <v>3171943.44</v>
      </c>
      <c r="J46" s="12">
        <f t="shared" si="32"/>
        <v>0.54100000000000004</v>
      </c>
      <c r="K46" s="12">
        <f t="shared" si="32"/>
        <v>1716.0214010400002</v>
      </c>
      <c r="L46" s="12">
        <f t="shared" si="32"/>
        <v>3298821.1776000001</v>
      </c>
      <c r="M46" s="12">
        <f t="shared" si="32"/>
        <v>0.52400000000000002</v>
      </c>
      <c r="N46" s="12">
        <f t="shared" si="32"/>
        <v>864.29114853120007</v>
      </c>
      <c r="O46" s="11"/>
      <c r="P46" s="11"/>
      <c r="Q46" s="50"/>
      <c r="R46" s="46"/>
    </row>
    <row r="47" spans="1:22" ht="31.5">
      <c r="A47" s="37" t="s">
        <v>94</v>
      </c>
      <c r="B47" s="9" t="s">
        <v>95</v>
      </c>
      <c r="C47" s="12">
        <f t="shared" ref="C47" si="33">C24</f>
        <v>1E-4</v>
      </c>
      <c r="D47" s="12">
        <v>1</v>
      </c>
      <c r="E47" s="12">
        <f t="shared" ref="E47:N47" si="34">E24</f>
        <v>0</v>
      </c>
      <c r="F47" s="12">
        <f t="shared" si="34"/>
        <v>0</v>
      </c>
      <c r="G47" s="12">
        <f t="shared" si="34"/>
        <v>0</v>
      </c>
      <c r="H47" s="12">
        <f t="shared" si="34"/>
        <v>0</v>
      </c>
      <c r="I47" s="12">
        <f t="shared" si="34"/>
        <v>0</v>
      </c>
      <c r="J47" s="12">
        <f t="shared" si="34"/>
        <v>0</v>
      </c>
      <c r="K47" s="12">
        <f t="shared" si="34"/>
        <v>0</v>
      </c>
      <c r="L47" s="12">
        <f t="shared" si="34"/>
        <v>0</v>
      </c>
      <c r="M47" s="12">
        <f t="shared" si="34"/>
        <v>1</v>
      </c>
      <c r="N47" s="12">
        <f t="shared" si="34"/>
        <v>0</v>
      </c>
      <c r="O47" s="11"/>
      <c r="P47" s="11"/>
      <c r="Q47" s="50"/>
      <c r="R47" s="46"/>
    </row>
    <row r="48" spans="1:22" s="115" customFormat="1" ht="31.5">
      <c r="A48" s="130" t="s">
        <v>304</v>
      </c>
      <c r="B48" s="9" t="str">
        <f>B25</f>
        <v>Строительство новой линейной ячейки от 1000А и  выше</v>
      </c>
      <c r="C48" s="12">
        <f t="shared" ref="C48" si="35">C25</f>
        <v>0</v>
      </c>
      <c r="D48" s="12">
        <v>1</v>
      </c>
      <c r="E48" s="12">
        <f t="shared" ref="E48:N48" si="36">E25</f>
        <v>0</v>
      </c>
      <c r="F48" s="12">
        <f t="shared" si="36"/>
        <v>0</v>
      </c>
      <c r="G48" s="12">
        <f t="shared" si="36"/>
        <v>0</v>
      </c>
      <c r="H48" s="12">
        <f t="shared" si="36"/>
        <v>0</v>
      </c>
      <c r="I48" s="12">
        <f t="shared" si="36"/>
        <v>0</v>
      </c>
      <c r="J48" s="12">
        <f t="shared" si="36"/>
        <v>0</v>
      </c>
      <c r="K48" s="12">
        <f t="shared" si="36"/>
        <v>0</v>
      </c>
      <c r="L48" s="12">
        <f t="shared" si="36"/>
        <v>0</v>
      </c>
      <c r="M48" s="12">
        <f t="shared" si="36"/>
        <v>1</v>
      </c>
      <c r="N48" s="12">
        <f t="shared" si="36"/>
        <v>0</v>
      </c>
      <c r="O48" s="11"/>
      <c r="P48" s="11"/>
      <c r="Q48" s="50"/>
      <c r="R48" s="116"/>
    </row>
    <row r="49" spans="1:19" ht="78.75">
      <c r="A49" s="37" t="s">
        <v>96</v>
      </c>
      <c r="B49" s="9" t="s">
        <v>62</v>
      </c>
      <c r="C49" s="12">
        <f t="shared" ref="C49" si="37">C26</f>
        <v>800</v>
      </c>
      <c r="D49" s="12">
        <v>1830</v>
      </c>
      <c r="E49" s="12">
        <f t="shared" ref="E49:N49" si="38">E26</f>
        <v>2415.2099250000001</v>
      </c>
      <c r="F49" s="12">
        <f t="shared" si="38"/>
        <v>400</v>
      </c>
      <c r="G49" s="12">
        <f t="shared" si="38"/>
        <v>966.08397000000002</v>
      </c>
      <c r="H49" s="12">
        <f t="shared" si="38"/>
        <v>966.08397000000002</v>
      </c>
      <c r="I49" s="12">
        <f t="shared" si="38"/>
        <v>19889.620000000003</v>
      </c>
      <c r="J49" s="12">
        <f t="shared" si="38"/>
        <v>1030</v>
      </c>
      <c r="K49" s="12">
        <f t="shared" si="38"/>
        <v>4204.4880000000003</v>
      </c>
      <c r="L49" s="12">
        <f t="shared" si="38"/>
        <v>20685.204800000003</v>
      </c>
      <c r="M49" s="12">
        <f t="shared" si="38"/>
        <v>1696.6666666666665</v>
      </c>
      <c r="N49" s="12">
        <f t="shared" si="38"/>
        <v>5183.8654400000005</v>
      </c>
      <c r="O49" s="11"/>
      <c r="P49" s="11"/>
      <c r="Q49" s="50"/>
      <c r="R49" s="46"/>
    </row>
    <row r="50" spans="1:19" s="115" customFormat="1" ht="31.5">
      <c r="A50" s="130" t="s">
        <v>305</v>
      </c>
      <c r="B50" s="9" t="str">
        <f>B27</f>
        <v>Однотрансформаторная подстанция от 250 до 500 кВА</v>
      </c>
      <c r="C50" s="12">
        <f t="shared" ref="C50" si="39">C27</f>
        <v>400</v>
      </c>
      <c r="D50" s="12">
        <v>1200</v>
      </c>
      <c r="E50" s="12">
        <f t="shared" ref="E50:N50" si="40">E27</f>
        <v>2415.2099250000001</v>
      </c>
      <c r="F50" s="12">
        <f t="shared" si="40"/>
        <v>400</v>
      </c>
      <c r="G50" s="12">
        <f t="shared" si="40"/>
        <v>966.08397000000002</v>
      </c>
      <c r="H50" s="12">
        <f t="shared" si="40"/>
        <v>966.08397000000002</v>
      </c>
      <c r="I50" s="12">
        <f t="shared" si="40"/>
        <v>3963.63</v>
      </c>
      <c r="J50" s="12">
        <f t="shared" si="40"/>
        <v>400</v>
      </c>
      <c r="K50" s="12">
        <f t="shared" si="40"/>
        <v>1585.452</v>
      </c>
      <c r="L50" s="12">
        <f t="shared" si="40"/>
        <v>4122.1752000000006</v>
      </c>
      <c r="M50" s="12">
        <f t="shared" si="40"/>
        <v>666.66666666666663</v>
      </c>
      <c r="N50" s="12">
        <f t="shared" si="40"/>
        <v>1374.0584000000001</v>
      </c>
      <c r="O50" s="11"/>
      <c r="P50" s="11"/>
      <c r="Q50" s="50"/>
      <c r="R50" s="116"/>
      <c r="S50" s="117">
        <f>'08_2021'!M130</f>
        <v>150</v>
      </c>
    </row>
    <row r="51" spans="1:19" s="115" customFormat="1" ht="31.5">
      <c r="A51" s="130" t="s">
        <v>306</v>
      </c>
      <c r="B51" s="9" t="str">
        <f t="shared" ref="B51:N52" si="41">B28</f>
        <v>Однотрансформаторная подстанция от 500 до 1000 кВА</v>
      </c>
      <c r="C51" s="12">
        <f t="shared" ref="C51" si="42">C28</f>
        <v>0</v>
      </c>
      <c r="D51" s="12">
        <v>630</v>
      </c>
      <c r="E51" s="12">
        <f t="shared" si="41"/>
        <v>0</v>
      </c>
      <c r="F51" s="12">
        <f t="shared" si="41"/>
        <v>0</v>
      </c>
      <c r="G51" s="12">
        <f t="shared" si="41"/>
        <v>0</v>
      </c>
      <c r="H51" s="12">
        <f t="shared" si="41"/>
        <v>0</v>
      </c>
      <c r="I51" s="12">
        <f t="shared" si="41"/>
        <v>4157.2</v>
      </c>
      <c r="J51" s="12">
        <f t="shared" si="41"/>
        <v>630</v>
      </c>
      <c r="K51" s="12">
        <f t="shared" si="41"/>
        <v>2619.0360000000001</v>
      </c>
      <c r="L51" s="12">
        <f t="shared" si="41"/>
        <v>4323.4880000000003</v>
      </c>
      <c r="M51" s="12">
        <f t="shared" si="41"/>
        <v>630</v>
      </c>
      <c r="N51" s="12">
        <f t="shared" si="41"/>
        <v>1361.8987200000001</v>
      </c>
      <c r="O51" s="11"/>
      <c r="P51" s="11"/>
      <c r="Q51" s="50"/>
      <c r="R51" s="116"/>
    </row>
    <row r="52" spans="1:19" s="115" customFormat="1" ht="31.5">
      <c r="A52" s="130" t="s">
        <v>307</v>
      </c>
      <c r="B52" s="9" t="str">
        <f t="shared" si="41"/>
        <v>Двухтрансформаторная подстанция от 250 до 500 кВА</v>
      </c>
      <c r="C52" s="12">
        <f t="shared" ref="C52" si="43">C29</f>
        <v>400</v>
      </c>
      <c r="D52" s="12">
        <v>0</v>
      </c>
      <c r="E52" s="12">
        <f t="shared" si="41"/>
        <v>0</v>
      </c>
      <c r="F52" s="12">
        <f t="shared" si="41"/>
        <v>0</v>
      </c>
      <c r="G52" s="12">
        <f t="shared" si="41"/>
        <v>0</v>
      </c>
      <c r="H52" s="12">
        <f t="shared" si="41"/>
        <v>0</v>
      </c>
      <c r="I52" s="12">
        <f t="shared" si="41"/>
        <v>11768.79</v>
      </c>
      <c r="J52" s="12">
        <f t="shared" si="41"/>
        <v>0</v>
      </c>
      <c r="K52" s="12">
        <f t="shared" si="41"/>
        <v>0</v>
      </c>
      <c r="L52" s="12">
        <f t="shared" si="41"/>
        <v>12239.5416</v>
      </c>
      <c r="M52" s="12">
        <f t="shared" si="41"/>
        <v>400</v>
      </c>
      <c r="N52" s="12">
        <f t="shared" si="41"/>
        <v>2447.9083200000005</v>
      </c>
      <c r="O52" s="11"/>
      <c r="P52" s="11"/>
      <c r="Q52" s="50"/>
      <c r="R52" s="116"/>
    </row>
    <row r="53" spans="1:19" ht="47.25">
      <c r="A53" s="37" t="s">
        <v>97</v>
      </c>
      <c r="B53" s="9" t="s">
        <v>65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0"/>
      <c r="O53" s="11"/>
      <c r="P53" s="11"/>
      <c r="Q53" s="50"/>
      <c r="R53" s="46"/>
    </row>
    <row r="54" spans="1:19" ht="47.25">
      <c r="A54" s="37" t="s">
        <v>98</v>
      </c>
      <c r="B54" s="9" t="s">
        <v>85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0"/>
      <c r="O54" s="11"/>
      <c r="P54" s="11"/>
      <c r="Q54" s="50"/>
      <c r="R54" s="46"/>
    </row>
    <row r="55" spans="1:19" s="158" customFormat="1" ht="47.25">
      <c r="A55" s="237"/>
      <c r="B55" s="269" t="s">
        <v>310</v>
      </c>
      <c r="C55" s="36"/>
      <c r="D55" s="36"/>
      <c r="E55" s="18">
        <f>G55/F55</f>
        <v>28.487076923076923</v>
      </c>
      <c r="F55" s="36">
        <v>13</v>
      </c>
      <c r="G55" s="36">
        <v>370.33199999999999</v>
      </c>
      <c r="H55" s="18">
        <f>G55</f>
        <v>370.33199999999999</v>
      </c>
      <c r="I55" s="18"/>
      <c r="J55" s="18">
        <f>F55</f>
        <v>13</v>
      </c>
      <c r="K55" s="18"/>
      <c r="L55" s="10"/>
      <c r="M55" s="10"/>
      <c r="N55" s="10"/>
      <c r="O55" s="11"/>
      <c r="P55" s="11"/>
      <c r="Q55" s="50"/>
      <c r="R55" s="153"/>
    </row>
    <row r="56" spans="1:19" s="8" customFormat="1" ht="110.25">
      <c r="A56" s="4" t="s">
        <v>99</v>
      </c>
      <c r="B56" s="5" t="s">
        <v>100</v>
      </c>
      <c r="C56" s="6" t="s">
        <v>15</v>
      </c>
      <c r="D56" s="6" t="s">
        <v>15</v>
      </c>
      <c r="E56" s="6" t="s">
        <v>15</v>
      </c>
      <c r="F56" s="6" t="s">
        <v>15</v>
      </c>
      <c r="G56" s="6">
        <f>G11-G57+G55</f>
        <v>11287.237646666668</v>
      </c>
      <c r="H56" s="6">
        <f>G56</f>
        <v>11287.237646666668</v>
      </c>
      <c r="I56" s="6" t="s">
        <v>15</v>
      </c>
      <c r="J56" s="6" t="s">
        <v>15</v>
      </c>
      <c r="K56" s="6">
        <f>K34-K57</f>
        <v>21073.047035720003</v>
      </c>
      <c r="L56" s="6" t="s">
        <v>15</v>
      </c>
      <c r="M56" s="28" t="s">
        <v>15</v>
      </c>
      <c r="N56" s="6">
        <f>N34-N57</f>
        <v>10841.794007468665</v>
      </c>
      <c r="O56" s="7" t="s">
        <v>15</v>
      </c>
      <c r="P56" s="7" t="s">
        <v>15</v>
      </c>
      <c r="Q56" s="51">
        <f>(Q11-Q34)</f>
        <v>-2813.8624543726664</v>
      </c>
      <c r="R56" s="52"/>
    </row>
    <row r="57" spans="1:19" s="8" customFormat="1" ht="31.5">
      <c r="A57" s="288" t="s">
        <v>41</v>
      </c>
      <c r="B57" s="9" t="s">
        <v>34</v>
      </c>
      <c r="C57" s="44">
        <v>41</v>
      </c>
      <c r="D57" s="42">
        <v>52</v>
      </c>
      <c r="E57" s="18"/>
      <c r="F57" s="45">
        <v>33</v>
      </c>
      <c r="G57" s="18">
        <f>'[8]3.Исполненные до 150(тариф)'!$G$5</f>
        <v>939.90333333333285</v>
      </c>
      <c r="H57" s="18"/>
      <c r="I57" s="18">
        <v>14879.85</v>
      </c>
      <c r="J57" s="45">
        <f>F57</f>
        <v>33</v>
      </c>
      <c r="K57" s="18">
        <f>I57*J57/1000</f>
        <v>491.03505000000001</v>
      </c>
      <c r="L57" s="10" t="s">
        <v>15</v>
      </c>
      <c r="M57" s="44">
        <f>AVERAGE(C57,D57,F57)</f>
        <v>42</v>
      </c>
      <c r="N57" s="10">
        <f>14851.07*1.036*N58/1000</f>
        <v>646.19975783999996</v>
      </c>
      <c r="O57" s="29"/>
      <c r="P57" s="29"/>
      <c r="Q57" s="30"/>
      <c r="R57" s="52"/>
    </row>
    <row r="58" spans="1:19" s="8" customFormat="1" ht="189">
      <c r="A58" s="292"/>
      <c r="B58" s="9" t="s">
        <v>35</v>
      </c>
      <c r="C58" s="54" t="s">
        <v>15</v>
      </c>
      <c r="D58" s="18" t="s">
        <v>15</v>
      </c>
      <c r="E58" s="18" t="s">
        <v>15</v>
      </c>
      <c r="F58" s="18" t="s">
        <v>15</v>
      </c>
      <c r="G58" s="42">
        <v>33</v>
      </c>
      <c r="H58" s="18"/>
      <c r="I58" s="18" t="s">
        <v>15</v>
      </c>
      <c r="J58" s="18" t="s">
        <v>15</v>
      </c>
      <c r="K58" s="42" t="str">
        <f>F58</f>
        <v>х</v>
      </c>
      <c r="L58" s="10" t="s">
        <v>15</v>
      </c>
      <c r="M58" s="10" t="s">
        <v>15</v>
      </c>
      <c r="N58" s="44">
        <f>M57</f>
        <v>42</v>
      </c>
      <c r="O58" s="29"/>
      <c r="P58" s="29"/>
      <c r="Q58" s="30"/>
      <c r="R58" s="52"/>
    </row>
    <row r="59" spans="1:19">
      <c r="F59" s="143"/>
      <c r="G59" s="26"/>
      <c r="H59" s="128"/>
    </row>
    <row r="61" spans="1:19" ht="21">
      <c r="C61" s="22" t="s">
        <v>156</v>
      </c>
      <c r="D61" s="22"/>
      <c r="G61" s="26"/>
      <c r="I61" s="22" t="s">
        <v>157</v>
      </c>
    </row>
    <row r="65" spans="8:8">
      <c r="H65" s="128"/>
    </row>
  </sheetData>
  <mergeCells count="12">
    <mergeCell ref="A57:A58"/>
    <mergeCell ref="B2:N2"/>
    <mergeCell ref="L7:N7"/>
    <mergeCell ref="O7:Q7"/>
    <mergeCell ref="A6:A9"/>
    <mergeCell ref="B6:B9"/>
    <mergeCell ref="C6:D6"/>
    <mergeCell ref="E6:G6"/>
    <mergeCell ref="I6:K6"/>
    <mergeCell ref="L6:Q6"/>
    <mergeCell ref="E7:G7"/>
    <mergeCell ref="I7:K7"/>
  </mergeCells>
  <pageMargins left="0.15748031496062992" right="0.15748031496062992" top="0.56000000000000005" bottom="0.31496062992125984" header="0.31496062992125984" footer="0.31496062992125984"/>
  <pageSetup paperSize="9" scale="40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A108"/>
  <sheetViews>
    <sheetView topLeftCell="A25" zoomScale="70" zoomScaleNormal="70" workbookViewId="0">
      <selection activeCell="L41" sqref="L41"/>
    </sheetView>
  </sheetViews>
  <sheetFormatPr defaultRowHeight="15"/>
  <cols>
    <col min="1" max="1" width="4.42578125" customWidth="1"/>
    <col min="2" max="2" width="13.140625" customWidth="1"/>
    <col min="3" max="3" width="26.85546875" bestFit="1" customWidth="1"/>
    <col min="4" max="4" width="10.85546875" customWidth="1"/>
    <col min="5" max="5" width="25.42578125" customWidth="1"/>
    <col min="6" max="6" width="25.42578125" style="115" customWidth="1"/>
    <col min="7" max="7" width="16.42578125" bestFit="1" customWidth="1"/>
    <col min="8" max="8" width="14" customWidth="1"/>
    <col min="9" max="9" width="14.42578125" customWidth="1"/>
    <col min="10" max="10" width="14.5703125" customWidth="1"/>
    <col min="11" max="11" width="12" customWidth="1"/>
    <col min="12" max="12" width="11.7109375" customWidth="1"/>
    <col min="13" max="14" width="12.5703125" customWidth="1"/>
    <col min="15" max="15" width="15.28515625" customWidth="1"/>
    <col min="16" max="16" width="17" customWidth="1"/>
    <col min="17" max="17" width="19.42578125" style="117" bestFit="1" customWidth="1"/>
    <col min="18" max="18" width="25.42578125" customWidth="1"/>
    <col min="19" max="19" width="19" bestFit="1" customWidth="1"/>
    <col min="257" max="257" width="4.42578125" customWidth="1"/>
    <col min="258" max="258" width="10.28515625" customWidth="1"/>
    <col min="259" max="259" width="26.85546875" bestFit="1" customWidth="1"/>
    <col min="260" max="260" width="10.85546875" customWidth="1"/>
    <col min="261" max="261" width="25.42578125" customWidth="1"/>
    <col min="262" max="262" width="16.42578125" bestFit="1" customWidth="1"/>
    <col min="263" max="263" width="14" customWidth="1"/>
    <col min="264" max="264" width="14.42578125" customWidth="1"/>
    <col min="265" max="265" width="14.5703125" customWidth="1"/>
    <col min="266" max="266" width="10.140625" customWidth="1"/>
    <col min="267" max="267" width="11.7109375" customWidth="1"/>
    <col min="268" max="269" width="12.5703125" customWidth="1"/>
    <col min="270" max="270" width="15.28515625" customWidth="1"/>
    <col min="271" max="271" width="17" customWidth="1"/>
    <col min="272" max="272" width="19.42578125" bestFit="1" customWidth="1"/>
    <col min="273" max="273" width="25.42578125" customWidth="1"/>
    <col min="513" max="513" width="4.42578125" customWidth="1"/>
    <col min="514" max="514" width="10.28515625" customWidth="1"/>
    <col min="515" max="515" width="26.85546875" bestFit="1" customWidth="1"/>
    <col min="516" max="516" width="10.85546875" customWidth="1"/>
    <col min="517" max="517" width="25.42578125" customWidth="1"/>
    <col min="518" max="518" width="16.42578125" bestFit="1" customWidth="1"/>
    <col min="519" max="519" width="14" customWidth="1"/>
    <col min="520" max="520" width="14.42578125" customWidth="1"/>
    <col min="521" max="521" width="14.5703125" customWidth="1"/>
    <col min="522" max="522" width="10.140625" customWidth="1"/>
    <col min="523" max="523" width="11.7109375" customWidth="1"/>
    <col min="524" max="525" width="12.5703125" customWidth="1"/>
    <col min="526" max="526" width="15.28515625" customWidth="1"/>
    <col min="527" max="527" width="17" customWidth="1"/>
    <col min="528" max="528" width="19.42578125" bestFit="1" customWidth="1"/>
    <col min="529" max="529" width="25.42578125" customWidth="1"/>
    <col min="769" max="769" width="4.42578125" customWidth="1"/>
    <col min="770" max="770" width="10.28515625" customWidth="1"/>
    <col min="771" max="771" width="26.85546875" bestFit="1" customWidth="1"/>
    <col min="772" max="772" width="10.85546875" customWidth="1"/>
    <col min="773" max="773" width="25.42578125" customWidth="1"/>
    <col min="774" max="774" width="16.42578125" bestFit="1" customWidth="1"/>
    <col min="775" max="775" width="14" customWidth="1"/>
    <col min="776" max="776" width="14.42578125" customWidth="1"/>
    <col min="777" max="777" width="14.5703125" customWidth="1"/>
    <col min="778" max="778" width="10.140625" customWidth="1"/>
    <col min="779" max="779" width="11.7109375" customWidth="1"/>
    <col min="780" max="781" width="12.5703125" customWidth="1"/>
    <col min="782" max="782" width="15.28515625" customWidth="1"/>
    <col min="783" max="783" width="17" customWidth="1"/>
    <col min="784" max="784" width="19.42578125" bestFit="1" customWidth="1"/>
    <col min="785" max="785" width="25.42578125" customWidth="1"/>
    <col min="1025" max="1025" width="4.42578125" customWidth="1"/>
    <col min="1026" max="1026" width="10.28515625" customWidth="1"/>
    <col min="1027" max="1027" width="26.85546875" bestFit="1" customWidth="1"/>
    <col min="1028" max="1028" width="10.85546875" customWidth="1"/>
    <col min="1029" max="1029" width="25.42578125" customWidth="1"/>
    <col min="1030" max="1030" width="16.42578125" bestFit="1" customWidth="1"/>
    <col min="1031" max="1031" width="14" customWidth="1"/>
    <col min="1032" max="1032" width="14.42578125" customWidth="1"/>
    <col min="1033" max="1033" width="14.5703125" customWidth="1"/>
    <col min="1034" max="1034" width="10.140625" customWidth="1"/>
    <col min="1035" max="1035" width="11.7109375" customWidth="1"/>
    <col min="1036" max="1037" width="12.5703125" customWidth="1"/>
    <col min="1038" max="1038" width="15.28515625" customWidth="1"/>
    <col min="1039" max="1039" width="17" customWidth="1"/>
    <col min="1040" max="1040" width="19.42578125" bestFit="1" customWidth="1"/>
    <col min="1041" max="1041" width="25.42578125" customWidth="1"/>
    <col min="1281" max="1281" width="4.42578125" customWidth="1"/>
    <col min="1282" max="1282" width="10.28515625" customWidth="1"/>
    <col min="1283" max="1283" width="26.85546875" bestFit="1" customWidth="1"/>
    <col min="1284" max="1284" width="10.85546875" customWidth="1"/>
    <col min="1285" max="1285" width="25.42578125" customWidth="1"/>
    <col min="1286" max="1286" width="16.42578125" bestFit="1" customWidth="1"/>
    <col min="1287" max="1287" width="14" customWidth="1"/>
    <col min="1288" max="1288" width="14.42578125" customWidth="1"/>
    <col min="1289" max="1289" width="14.5703125" customWidth="1"/>
    <col min="1290" max="1290" width="10.140625" customWidth="1"/>
    <col min="1291" max="1291" width="11.7109375" customWidth="1"/>
    <col min="1292" max="1293" width="12.5703125" customWidth="1"/>
    <col min="1294" max="1294" width="15.28515625" customWidth="1"/>
    <col min="1295" max="1295" width="17" customWidth="1"/>
    <col min="1296" max="1296" width="19.42578125" bestFit="1" customWidth="1"/>
    <col min="1297" max="1297" width="25.42578125" customWidth="1"/>
    <col min="1537" max="1537" width="4.42578125" customWidth="1"/>
    <col min="1538" max="1538" width="10.28515625" customWidth="1"/>
    <col min="1539" max="1539" width="26.85546875" bestFit="1" customWidth="1"/>
    <col min="1540" max="1540" width="10.85546875" customWidth="1"/>
    <col min="1541" max="1541" width="25.42578125" customWidth="1"/>
    <col min="1542" max="1542" width="16.42578125" bestFit="1" customWidth="1"/>
    <col min="1543" max="1543" width="14" customWidth="1"/>
    <col min="1544" max="1544" width="14.42578125" customWidth="1"/>
    <col min="1545" max="1545" width="14.5703125" customWidth="1"/>
    <col min="1546" max="1546" width="10.140625" customWidth="1"/>
    <col min="1547" max="1547" width="11.7109375" customWidth="1"/>
    <col min="1548" max="1549" width="12.5703125" customWidth="1"/>
    <col min="1550" max="1550" width="15.28515625" customWidth="1"/>
    <col min="1551" max="1551" width="17" customWidth="1"/>
    <col min="1552" max="1552" width="19.42578125" bestFit="1" customWidth="1"/>
    <col min="1553" max="1553" width="25.42578125" customWidth="1"/>
    <col min="1793" max="1793" width="4.42578125" customWidth="1"/>
    <col min="1794" max="1794" width="10.28515625" customWidth="1"/>
    <col min="1795" max="1795" width="26.85546875" bestFit="1" customWidth="1"/>
    <col min="1796" max="1796" width="10.85546875" customWidth="1"/>
    <col min="1797" max="1797" width="25.42578125" customWidth="1"/>
    <col min="1798" max="1798" width="16.42578125" bestFit="1" customWidth="1"/>
    <col min="1799" max="1799" width="14" customWidth="1"/>
    <col min="1800" max="1800" width="14.42578125" customWidth="1"/>
    <col min="1801" max="1801" width="14.5703125" customWidth="1"/>
    <col min="1802" max="1802" width="10.140625" customWidth="1"/>
    <col min="1803" max="1803" width="11.7109375" customWidth="1"/>
    <col min="1804" max="1805" width="12.5703125" customWidth="1"/>
    <col min="1806" max="1806" width="15.28515625" customWidth="1"/>
    <col min="1807" max="1807" width="17" customWidth="1"/>
    <col min="1808" max="1808" width="19.42578125" bestFit="1" customWidth="1"/>
    <col min="1809" max="1809" width="25.42578125" customWidth="1"/>
    <col min="2049" max="2049" width="4.42578125" customWidth="1"/>
    <col min="2050" max="2050" width="10.28515625" customWidth="1"/>
    <col min="2051" max="2051" width="26.85546875" bestFit="1" customWidth="1"/>
    <col min="2052" max="2052" width="10.85546875" customWidth="1"/>
    <col min="2053" max="2053" width="25.42578125" customWidth="1"/>
    <col min="2054" max="2054" width="16.42578125" bestFit="1" customWidth="1"/>
    <col min="2055" max="2055" width="14" customWidth="1"/>
    <col min="2056" max="2056" width="14.42578125" customWidth="1"/>
    <col min="2057" max="2057" width="14.5703125" customWidth="1"/>
    <col min="2058" max="2058" width="10.140625" customWidth="1"/>
    <col min="2059" max="2059" width="11.7109375" customWidth="1"/>
    <col min="2060" max="2061" width="12.5703125" customWidth="1"/>
    <col min="2062" max="2062" width="15.28515625" customWidth="1"/>
    <col min="2063" max="2063" width="17" customWidth="1"/>
    <col min="2064" max="2064" width="19.42578125" bestFit="1" customWidth="1"/>
    <col min="2065" max="2065" width="25.42578125" customWidth="1"/>
    <col min="2305" max="2305" width="4.42578125" customWidth="1"/>
    <col min="2306" max="2306" width="10.28515625" customWidth="1"/>
    <col min="2307" max="2307" width="26.85546875" bestFit="1" customWidth="1"/>
    <col min="2308" max="2308" width="10.85546875" customWidth="1"/>
    <col min="2309" max="2309" width="25.42578125" customWidth="1"/>
    <col min="2310" max="2310" width="16.42578125" bestFit="1" customWidth="1"/>
    <col min="2311" max="2311" width="14" customWidth="1"/>
    <col min="2312" max="2312" width="14.42578125" customWidth="1"/>
    <col min="2313" max="2313" width="14.5703125" customWidth="1"/>
    <col min="2314" max="2314" width="10.140625" customWidth="1"/>
    <col min="2315" max="2315" width="11.7109375" customWidth="1"/>
    <col min="2316" max="2317" width="12.5703125" customWidth="1"/>
    <col min="2318" max="2318" width="15.28515625" customWidth="1"/>
    <col min="2319" max="2319" width="17" customWidth="1"/>
    <col min="2320" max="2320" width="19.42578125" bestFit="1" customWidth="1"/>
    <col min="2321" max="2321" width="25.42578125" customWidth="1"/>
    <col min="2561" max="2561" width="4.42578125" customWidth="1"/>
    <col min="2562" max="2562" width="10.28515625" customWidth="1"/>
    <col min="2563" max="2563" width="26.85546875" bestFit="1" customWidth="1"/>
    <col min="2564" max="2564" width="10.85546875" customWidth="1"/>
    <col min="2565" max="2565" width="25.42578125" customWidth="1"/>
    <col min="2566" max="2566" width="16.42578125" bestFit="1" customWidth="1"/>
    <col min="2567" max="2567" width="14" customWidth="1"/>
    <col min="2568" max="2568" width="14.42578125" customWidth="1"/>
    <col min="2569" max="2569" width="14.5703125" customWidth="1"/>
    <col min="2570" max="2570" width="10.140625" customWidth="1"/>
    <col min="2571" max="2571" width="11.7109375" customWidth="1"/>
    <col min="2572" max="2573" width="12.5703125" customWidth="1"/>
    <col min="2574" max="2574" width="15.28515625" customWidth="1"/>
    <col min="2575" max="2575" width="17" customWidth="1"/>
    <col min="2576" max="2576" width="19.42578125" bestFit="1" customWidth="1"/>
    <col min="2577" max="2577" width="25.42578125" customWidth="1"/>
    <col min="2817" max="2817" width="4.42578125" customWidth="1"/>
    <col min="2818" max="2818" width="10.28515625" customWidth="1"/>
    <col min="2819" max="2819" width="26.85546875" bestFit="1" customWidth="1"/>
    <col min="2820" max="2820" width="10.85546875" customWidth="1"/>
    <col min="2821" max="2821" width="25.42578125" customWidth="1"/>
    <col min="2822" max="2822" width="16.42578125" bestFit="1" customWidth="1"/>
    <col min="2823" max="2823" width="14" customWidth="1"/>
    <col min="2824" max="2824" width="14.42578125" customWidth="1"/>
    <col min="2825" max="2825" width="14.5703125" customWidth="1"/>
    <col min="2826" max="2826" width="10.140625" customWidth="1"/>
    <col min="2827" max="2827" width="11.7109375" customWidth="1"/>
    <col min="2828" max="2829" width="12.5703125" customWidth="1"/>
    <col min="2830" max="2830" width="15.28515625" customWidth="1"/>
    <col min="2831" max="2831" width="17" customWidth="1"/>
    <col min="2832" max="2832" width="19.42578125" bestFit="1" customWidth="1"/>
    <col min="2833" max="2833" width="25.42578125" customWidth="1"/>
    <col min="3073" max="3073" width="4.42578125" customWidth="1"/>
    <col min="3074" max="3074" width="10.28515625" customWidth="1"/>
    <col min="3075" max="3075" width="26.85546875" bestFit="1" customWidth="1"/>
    <col min="3076" max="3076" width="10.85546875" customWidth="1"/>
    <col min="3077" max="3077" width="25.42578125" customWidth="1"/>
    <col min="3078" max="3078" width="16.42578125" bestFit="1" customWidth="1"/>
    <col min="3079" max="3079" width="14" customWidth="1"/>
    <col min="3080" max="3080" width="14.42578125" customWidth="1"/>
    <col min="3081" max="3081" width="14.5703125" customWidth="1"/>
    <col min="3082" max="3082" width="10.140625" customWidth="1"/>
    <col min="3083" max="3083" width="11.7109375" customWidth="1"/>
    <col min="3084" max="3085" width="12.5703125" customWidth="1"/>
    <col min="3086" max="3086" width="15.28515625" customWidth="1"/>
    <col min="3087" max="3087" width="17" customWidth="1"/>
    <col min="3088" max="3088" width="19.42578125" bestFit="1" customWidth="1"/>
    <col min="3089" max="3089" width="25.42578125" customWidth="1"/>
    <col min="3329" max="3329" width="4.42578125" customWidth="1"/>
    <col min="3330" max="3330" width="10.28515625" customWidth="1"/>
    <col min="3331" max="3331" width="26.85546875" bestFit="1" customWidth="1"/>
    <col min="3332" max="3332" width="10.85546875" customWidth="1"/>
    <col min="3333" max="3333" width="25.42578125" customWidth="1"/>
    <col min="3334" max="3334" width="16.42578125" bestFit="1" customWidth="1"/>
    <col min="3335" max="3335" width="14" customWidth="1"/>
    <col min="3336" max="3336" width="14.42578125" customWidth="1"/>
    <col min="3337" max="3337" width="14.5703125" customWidth="1"/>
    <col min="3338" max="3338" width="10.140625" customWidth="1"/>
    <col min="3339" max="3339" width="11.7109375" customWidth="1"/>
    <col min="3340" max="3341" width="12.5703125" customWidth="1"/>
    <col min="3342" max="3342" width="15.28515625" customWidth="1"/>
    <col min="3343" max="3343" width="17" customWidth="1"/>
    <col min="3344" max="3344" width="19.42578125" bestFit="1" customWidth="1"/>
    <col min="3345" max="3345" width="25.42578125" customWidth="1"/>
    <col min="3585" max="3585" width="4.42578125" customWidth="1"/>
    <col min="3586" max="3586" width="10.28515625" customWidth="1"/>
    <col min="3587" max="3587" width="26.85546875" bestFit="1" customWidth="1"/>
    <col min="3588" max="3588" width="10.85546875" customWidth="1"/>
    <col min="3589" max="3589" width="25.42578125" customWidth="1"/>
    <col min="3590" max="3590" width="16.42578125" bestFit="1" customWidth="1"/>
    <col min="3591" max="3591" width="14" customWidth="1"/>
    <col min="3592" max="3592" width="14.42578125" customWidth="1"/>
    <col min="3593" max="3593" width="14.5703125" customWidth="1"/>
    <col min="3594" max="3594" width="10.140625" customWidth="1"/>
    <col min="3595" max="3595" width="11.7109375" customWidth="1"/>
    <col min="3596" max="3597" width="12.5703125" customWidth="1"/>
    <col min="3598" max="3598" width="15.28515625" customWidth="1"/>
    <col min="3599" max="3599" width="17" customWidth="1"/>
    <col min="3600" max="3600" width="19.42578125" bestFit="1" customWidth="1"/>
    <col min="3601" max="3601" width="25.42578125" customWidth="1"/>
    <col min="3841" max="3841" width="4.42578125" customWidth="1"/>
    <col min="3842" max="3842" width="10.28515625" customWidth="1"/>
    <col min="3843" max="3843" width="26.85546875" bestFit="1" customWidth="1"/>
    <col min="3844" max="3844" width="10.85546875" customWidth="1"/>
    <col min="3845" max="3845" width="25.42578125" customWidth="1"/>
    <col min="3846" max="3846" width="16.42578125" bestFit="1" customWidth="1"/>
    <col min="3847" max="3847" width="14" customWidth="1"/>
    <col min="3848" max="3848" width="14.42578125" customWidth="1"/>
    <col min="3849" max="3849" width="14.5703125" customWidth="1"/>
    <col min="3850" max="3850" width="10.140625" customWidth="1"/>
    <col min="3851" max="3851" width="11.7109375" customWidth="1"/>
    <col min="3852" max="3853" width="12.5703125" customWidth="1"/>
    <col min="3854" max="3854" width="15.28515625" customWidth="1"/>
    <col min="3855" max="3855" width="17" customWidth="1"/>
    <col min="3856" max="3856" width="19.42578125" bestFit="1" customWidth="1"/>
    <col min="3857" max="3857" width="25.42578125" customWidth="1"/>
    <col min="4097" max="4097" width="4.42578125" customWidth="1"/>
    <col min="4098" max="4098" width="10.28515625" customWidth="1"/>
    <col min="4099" max="4099" width="26.85546875" bestFit="1" customWidth="1"/>
    <col min="4100" max="4100" width="10.85546875" customWidth="1"/>
    <col min="4101" max="4101" width="25.42578125" customWidth="1"/>
    <col min="4102" max="4102" width="16.42578125" bestFit="1" customWidth="1"/>
    <col min="4103" max="4103" width="14" customWidth="1"/>
    <col min="4104" max="4104" width="14.42578125" customWidth="1"/>
    <col min="4105" max="4105" width="14.5703125" customWidth="1"/>
    <col min="4106" max="4106" width="10.140625" customWidth="1"/>
    <col min="4107" max="4107" width="11.7109375" customWidth="1"/>
    <col min="4108" max="4109" width="12.5703125" customWidth="1"/>
    <col min="4110" max="4110" width="15.28515625" customWidth="1"/>
    <col min="4111" max="4111" width="17" customWidth="1"/>
    <col min="4112" max="4112" width="19.42578125" bestFit="1" customWidth="1"/>
    <col min="4113" max="4113" width="25.42578125" customWidth="1"/>
    <col min="4353" max="4353" width="4.42578125" customWidth="1"/>
    <col min="4354" max="4354" width="10.28515625" customWidth="1"/>
    <col min="4355" max="4355" width="26.85546875" bestFit="1" customWidth="1"/>
    <col min="4356" max="4356" width="10.85546875" customWidth="1"/>
    <col min="4357" max="4357" width="25.42578125" customWidth="1"/>
    <col min="4358" max="4358" width="16.42578125" bestFit="1" customWidth="1"/>
    <col min="4359" max="4359" width="14" customWidth="1"/>
    <col min="4360" max="4360" width="14.42578125" customWidth="1"/>
    <col min="4361" max="4361" width="14.5703125" customWidth="1"/>
    <col min="4362" max="4362" width="10.140625" customWidth="1"/>
    <col min="4363" max="4363" width="11.7109375" customWidth="1"/>
    <col min="4364" max="4365" width="12.5703125" customWidth="1"/>
    <col min="4366" max="4366" width="15.28515625" customWidth="1"/>
    <col min="4367" max="4367" width="17" customWidth="1"/>
    <col min="4368" max="4368" width="19.42578125" bestFit="1" customWidth="1"/>
    <col min="4369" max="4369" width="25.42578125" customWidth="1"/>
    <col min="4609" max="4609" width="4.42578125" customWidth="1"/>
    <col min="4610" max="4610" width="10.28515625" customWidth="1"/>
    <col min="4611" max="4611" width="26.85546875" bestFit="1" customWidth="1"/>
    <col min="4612" max="4612" width="10.85546875" customWidth="1"/>
    <col min="4613" max="4613" width="25.42578125" customWidth="1"/>
    <col min="4614" max="4614" width="16.42578125" bestFit="1" customWidth="1"/>
    <col min="4615" max="4615" width="14" customWidth="1"/>
    <col min="4616" max="4616" width="14.42578125" customWidth="1"/>
    <col min="4617" max="4617" width="14.5703125" customWidth="1"/>
    <col min="4618" max="4618" width="10.140625" customWidth="1"/>
    <col min="4619" max="4619" width="11.7109375" customWidth="1"/>
    <col min="4620" max="4621" width="12.5703125" customWidth="1"/>
    <col min="4622" max="4622" width="15.28515625" customWidth="1"/>
    <col min="4623" max="4623" width="17" customWidth="1"/>
    <col min="4624" max="4624" width="19.42578125" bestFit="1" customWidth="1"/>
    <col min="4625" max="4625" width="25.42578125" customWidth="1"/>
    <col min="4865" max="4865" width="4.42578125" customWidth="1"/>
    <col min="4866" max="4866" width="10.28515625" customWidth="1"/>
    <col min="4867" max="4867" width="26.85546875" bestFit="1" customWidth="1"/>
    <col min="4868" max="4868" width="10.85546875" customWidth="1"/>
    <col min="4869" max="4869" width="25.42578125" customWidth="1"/>
    <col min="4870" max="4870" width="16.42578125" bestFit="1" customWidth="1"/>
    <col min="4871" max="4871" width="14" customWidth="1"/>
    <col min="4872" max="4872" width="14.42578125" customWidth="1"/>
    <col min="4873" max="4873" width="14.5703125" customWidth="1"/>
    <col min="4874" max="4874" width="10.140625" customWidth="1"/>
    <col min="4875" max="4875" width="11.7109375" customWidth="1"/>
    <col min="4876" max="4877" width="12.5703125" customWidth="1"/>
    <col min="4878" max="4878" width="15.28515625" customWidth="1"/>
    <col min="4879" max="4879" width="17" customWidth="1"/>
    <col min="4880" max="4880" width="19.42578125" bestFit="1" customWidth="1"/>
    <col min="4881" max="4881" width="25.42578125" customWidth="1"/>
    <col min="5121" max="5121" width="4.42578125" customWidth="1"/>
    <col min="5122" max="5122" width="10.28515625" customWidth="1"/>
    <col min="5123" max="5123" width="26.85546875" bestFit="1" customWidth="1"/>
    <col min="5124" max="5124" width="10.85546875" customWidth="1"/>
    <col min="5125" max="5125" width="25.42578125" customWidth="1"/>
    <col min="5126" max="5126" width="16.42578125" bestFit="1" customWidth="1"/>
    <col min="5127" max="5127" width="14" customWidth="1"/>
    <col min="5128" max="5128" width="14.42578125" customWidth="1"/>
    <col min="5129" max="5129" width="14.5703125" customWidth="1"/>
    <col min="5130" max="5130" width="10.140625" customWidth="1"/>
    <col min="5131" max="5131" width="11.7109375" customWidth="1"/>
    <col min="5132" max="5133" width="12.5703125" customWidth="1"/>
    <col min="5134" max="5134" width="15.28515625" customWidth="1"/>
    <col min="5135" max="5135" width="17" customWidth="1"/>
    <col min="5136" max="5136" width="19.42578125" bestFit="1" customWidth="1"/>
    <col min="5137" max="5137" width="25.42578125" customWidth="1"/>
    <col min="5377" max="5377" width="4.42578125" customWidth="1"/>
    <col min="5378" max="5378" width="10.28515625" customWidth="1"/>
    <col min="5379" max="5379" width="26.85546875" bestFit="1" customWidth="1"/>
    <col min="5380" max="5380" width="10.85546875" customWidth="1"/>
    <col min="5381" max="5381" width="25.42578125" customWidth="1"/>
    <col min="5382" max="5382" width="16.42578125" bestFit="1" customWidth="1"/>
    <col min="5383" max="5383" width="14" customWidth="1"/>
    <col min="5384" max="5384" width="14.42578125" customWidth="1"/>
    <col min="5385" max="5385" width="14.5703125" customWidth="1"/>
    <col min="5386" max="5386" width="10.140625" customWidth="1"/>
    <col min="5387" max="5387" width="11.7109375" customWidth="1"/>
    <col min="5388" max="5389" width="12.5703125" customWidth="1"/>
    <col min="5390" max="5390" width="15.28515625" customWidth="1"/>
    <col min="5391" max="5391" width="17" customWidth="1"/>
    <col min="5392" max="5392" width="19.42578125" bestFit="1" customWidth="1"/>
    <col min="5393" max="5393" width="25.42578125" customWidth="1"/>
    <col min="5633" max="5633" width="4.42578125" customWidth="1"/>
    <col min="5634" max="5634" width="10.28515625" customWidth="1"/>
    <col min="5635" max="5635" width="26.85546875" bestFit="1" customWidth="1"/>
    <col min="5636" max="5636" width="10.85546875" customWidth="1"/>
    <col min="5637" max="5637" width="25.42578125" customWidth="1"/>
    <col min="5638" max="5638" width="16.42578125" bestFit="1" customWidth="1"/>
    <col min="5639" max="5639" width="14" customWidth="1"/>
    <col min="5640" max="5640" width="14.42578125" customWidth="1"/>
    <col min="5641" max="5641" width="14.5703125" customWidth="1"/>
    <col min="5642" max="5642" width="10.140625" customWidth="1"/>
    <col min="5643" max="5643" width="11.7109375" customWidth="1"/>
    <col min="5644" max="5645" width="12.5703125" customWidth="1"/>
    <col min="5646" max="5646" width="15.28515625" customWidth="1"/>
    <col min="5647" max="5647" width="17" customWidth="1"/>
    <col min="5648" max="5648" width="19.42578125" bestFit="1" customWidth="1"/>
    <col min="5649" max="5649" width="25.42578125" customWidth="1"/>
    <col min="5889" max="5889" width="4.42578125" customWidth="1"/>
    <col min="5890" max="5890" width="10.28515625" customWidth="1"/>
    <col min="5891" max="5891" width="26.85546875" bestFit="1" customWidth="1"/>
    <col min="5892" max="5892" width="10.85546875" customWidth="1"/>
    <col min="5893" max="5893" width="25.42578125" customWidth="1"/>
    <col min="5894" max="5894" width="16.42578125" bestFit="1" customWidth="1"/>
    <col min="5895" max="5895" width="14" customWidth="1"/>
    <col min="5896" max="5896" width="14.42578125" customWidth="1"/>
    <col min="5897" max="5897" width="14.5703125" customWidth="1"/>
    <col min="5898" max="5898" width="10.140625" customWidth="1"/>
    <col min="5899" max="5899" width="11.7109375" customWidth="1"/>
    <col min="5900" max="5901" width="12.5703125" customWidth="1"/>
    <col min="5902" max="5902" width="15.28515625" customWidth="1"/>
    <col min="5903" max="5903" width="17" customWidth="1"/>
    <col min="5904" max="5904" width="19.42578125" bestFit="1" customWidth="1"/>
    <col min="5905" max="5905" width="25.42578125" customWidth="1"/>
    <col min="6145" max="6145" width="4.42578125" customWidth="1"/>
    <col min="6146" max="6146" width="10.28515625" customWidth="1"/>
    <col min="6147" max="6147" width="26.85546875" bestFit="1" customWidth="1"/>
    <col min="6148" max="6148" width="10.85546875" customWidth="1"/>
    <col min="6149" max="6149" width="25.42578125" customWidth="1"/>
    <col min="6150" max="6150" width="16.42578125" bestFit="1" customWidth="1"/>
    <col min="6151" max="6151" width="14" customWidth="1"/>
    <col min="6152" max="6152" width="14.42578125" customWidth="1"/>
    <col min="6153" max="6153" width="14.5703125" customWidth="1"/>
    <col min="6154" max="6154" width="10.140625" customWidth="1"/>
    <col min="6155" max="6155" width="11.7109375" customWidth="1"/>
    <col min="6156" max="6157" width="12.5703125" customWidth="1"/>
    <col min="6158" max="6158" width="15.28515625" customWidth="1"/>
    <col min="6159" max="6159" width="17" customWidth="1"/>
    <col min="6160" max="6160" width="19.42578125" bestFit="1" customWidth="1"/>
    <col min="6161" max="6161" width="25.42578125" customWidth="1"/>
    <col min="6401" max="6401" width="4.42578125" customWidth="1"/>
    <col min="6402" max="6402" width="10.28515625" customWidth="1"/>
    <col min="6403" max="6403" width="26.85546875" bestFit="1" customWidth="1"/>
    <col min="6404" max="6404" width="10.85546875" customWidth="1"/>
    <col min="6405" max="6405" width="25.42578125" customWidth="1"/>
    <col min="6406" max="6406" width="16.42578125" bestFit="1" customWidth="1"/>
    <col min="6407" max="6407" width="14" customWidth="1"/>
    <col min="6408" max="6408" width="14.42578125" customWidth="1"/>
    <col min="6409" max="6409" width="14.5703125" customWidth="1"/>
    <col min="6410" max="6410" width="10.140625" customWidth="1"/>
    <col min="6411" max="6411" width="11.7109375" customWidth="1"/>
    <col min="6412" max="6413" width="12.5703125" customWidth="1"/>
    <col min="6414" max="6414" width="15.28515625" customWidth="1"/>
    <col min="6415" max="6415" width="17" customWidth="1"/>
    <col min="6416" max="6416" width="19.42578125" bestFit="1" customWidth="1"/>
    <col min="6417" max="6417" width="25.42578125" customWidth="1"/>
    <col min="6657" max="6657" width="4.42578125" customWidth="1"/>
    <col min="6658" max="6658" width="10.28515625" customWidth="1"/>
    <col min="6659" max="6659" width="26.85546875" bestFit="1" customWidth="1"/>
    <col min="6660" max="6660" width="10.85546875" customWidth="1"/>
    <col min="6661" max="6661" width="25.42578125" customWidth="1"/>
    <col min="6662" max="6662" width="16.42578125" bestFit="1" customWidth="1"/>
    <col min="6663" max="6663" width="14" customWidth="1"/>
    <col min="6664" max="6664" width="14.42578125" customWidth="1"/>
    <col min="6665" max="6665" width="14.5703125" customWidth="1"/>
    <col min="6666" max="6666" width="10.140625" customWidth="1"/>
    <col min="6667" max="6667" width="11.7109375" customWidth="1"/>
    <col min="6668" max="6669" width="12.5703125" customWidth="1"/>
    <col min="6670" max="6670" width="15.28515625" customWidth="1"/>
    <col min="6671" max="6671" width="17" customWidth="1"/>
    <col min="6672" max="6672" width="19.42578125" bestFit="1" customWidth="1"/>
    <col min="6673" max="6673" width="25.42578125" customWidth="1"/>
    <col min="6913" max="6913" width="4.42578125" customWidth="1"/>
    <col min="6914" max="6914" width="10.28515625" customWidth="1"/>
    <col min="6915" max="6915" width="26.85546875" bestFit="1" customWidth="1"/>
    <col min="6916" max="6916" width="10.85546875" customWidth="1"/>
    <col min="6917" max="6917" width="25.42578125" customWidth="1"/>
    <col min="6918" max="6918" width="16.42578125" bestFit="1" customWidth="1"/>
    <col min="6919" max="6919" width="14" customWidth="1"/>
    <col min="6920" max="6920" width="14.42578125" customWidth="1"/>
    <col min="6921" max="6921" width="14.5703125" customWidth="1"/>
    <col min="6922" max="6922" width="10.140625" customWidth="1"/>
    <col min="6923" max="6923" width="11.7109375" customWidth="1"/>
    <col min="6924" max="6925" width="12.5703125" customWidth="1"/>
    <col min="6926" max="6926" width="15.28515625" customWidth="1"/>
    <col min="6927" max="6927" width="17" customWidth="1"/>
    <col min="6928" max="6928" width="19.42578125" bestFit="1" customWidth="1"/>
    <col min="6929" max="6929" width="25.42578125" customWidth="1"/>
    <col min="7169" max="7169" width="4.42578125" customWidth="1"/>
    <col min="7170" max="7170" width="10.28515625" customWidth="1"/>
    <col min="7171" max="7171" width="26.85546875" bestFit="1" customWidth="1"/>
    <col min="7172" max="7172" width="10.85546875" customWidth="1"/>
    <col min="7173" max="7173" width="25.42578125" customWidth="1"/>
    <col min="7174" max="7174" width="16.42578125" bestFit="1" customWidth="1"/>
    <col min="7175" max="7175" width="14" customWidth="1"/>
    <col min="7176" max="7176" width="14.42578125" customWidth="1"/>
    <col min="7177" max="7177" width="14.5703125" customWidth="1"/>
    <col min="7178" max="7178" width="10.140625" customWidth="1"/>
    <col min="7179" max="7179" width="11.7109375" customWidth="1"/>
    <col min="7180" max="7181" width="12.5703125" customWidth="1"/>
    <col min="7182" max="7182" width="15.28515625" customWidth="1"/>
    <col min="7183" max="7183" width="17" customWidth="1"/>
    <col min="7184" max="7184" width="19.42578125" bestFit="1" customWidth="1"/>
    <col min="7185" max="7185" width="25.42578125" customWidth="1"/>
    <col min="7425" max="7425" width="4.42578125" customWidth="1"/>
    <col min="7426" max="7426" width="10.28515625" customWidth="1"/>
    <col min="7427" max="7427" width="26.85546875" bestFit="1" customWidth="1"/>
    <col min="7428" max="7428" width="10.85546875" customWidth="1"/>
    <col min="7429" max="7429" width="25.42578125" customWidth="1"/>
    <col min="7430" max="7430" width="16.42578125" bestFit="1" customWidth="1"/>
    <col min="7431" max="7431" width="14" customWidth="1"/>
    <col min="7432" max="7432" width="14.42578125" customWidth="1"/>
    <col min="7433" max="7433" width="14.5703125" customWidth="1"/>
    <col min="7434" max="7434" width="10.140625" customWidth="1"/>
    <col min="7435" max="7435" width="11.7109375" customWidth="1"/>
    <col min="7436" max="7437" width="12.5703125" customWidth="1"/>
    <col min="7438" max="7438" width="15.28515625" customWidth="1"/>
    <col min="7439" max="7439" width="17" customWidth="1"/>
    <col min="7440" max="7440" width="19.42578125" bestFit="1" customWidth="1"/>
    <col min="7441" max="7441" width="25.42578125" customWidth="1"/>
    <col min="7681" max="7681" width="4.42578125" customWidth="1"/>
    <col min="7682" max="7682" width="10.28515625" customWidth="1"/>
    <col min="7683" max="7683" width="26.85546875" bestFit="1" customWidth="1"/>
    <col min="7684" max="7684" width="10.85546875" customWidth="1"/>
    <col min="7685" max="7685" width="25.42578125" customWidth="1"/>
    <col min="7686" max="7686" width="16.42578125" bestFit="1" customWidth="1"/>
    <col min="7687" max="7687" width="14" customWidth="1"/>
    <col min="7688" max="7688" width="14.42578125" customWidth="1"/>
    <col min="7689" max="7689" width="14.5703125" customWidth="1"/>
    <col min="7690" max="7690" width="10.140625" customWidth="1"/>
    <col min="7691" max="7691" width="11.7109375" customWidth="1"/>
    <col min="7692" max="7693" width="12.5703125" customWidth="1"/>
    <col min="7694" max="7694" width="15.28515625" customWidth="1"/>
    <col min="7695" max="7695" width="17" customWidth="1"/>
    <col min="7696" max="7696" width="19.42578125" bestFit="1" customWidth="1"/>
    <col min="7697" max="7697" width="25.42578125" customWidth="1"/>
    <col min="7937" max="7937" width="4.42578125" customWidth="1"/>
    <col min="7938" max="7938" width="10.28515625" customWidth="1"/>
    <col min="7939" max="7939" width="26.85546875" bestFit="1" customWidth="1"/>
    <col min="7940" max="7940" width="10.85546875" customWidth="1"/>
    <col min="7941" max="7941" width="25.42578125" customWidth="1"/>
    <col min="7942" max="7942" width="16.42578125" bestFit="1" customWidth="1"/>
    <col min="7943" max="7943" width="14" customWidth="1"/>
    <col min="7944" max="7944" width="14.42578125" customWidth="1"/>
    <col min="7945" max="7945" width="14.5703125" customWidth="1"/>
    <col min="7946" max="7946" width="10.140625" customWidth="1"/>
    <col min="7947" max="7947" width="11.7109375" customWidth="1"/>
    <col min="7948" max="7949" width="12.5703125" customWidth="1"/>
    <col min="7950" max="7950" width="15.28515625" customWidth="1"/>
    <col min="7951" max="7951" width="17" customWidth="1"/>
    <col min="7952" max="7952" width="19.42578125" bestFit="1" customWidth="1"/>
    <col min="7953" max="7953" width="25.42578125" customWidth="1"/>
    <col min="8193" max="8193" width="4.42578125" customWidth="1"/>
    <col min="8194" max="8194" width="10.28515625" customWidth="1"/>
    <col min="8195" max="8195" width="26.85546875" bestFit="1" customWidth="1"/>
    <col min="8196" max="8196" width="10.85546875" customWidth="1"/>
    <col min="8197" max="8197" width="25.42578125" customWidth="1"/>
    <col min="8198" max="8198" width="16.42578125" bestFit="1" customWidth="1"/>
    <col min="8199" max="8199" width="14" customWidth="1"/>
    <col min="8200" max="8200" width="14.42578125" customWidth="1"/>
    <col min="8201" max="8201" width="14.5703125" customWidth="1"/>
    <col min="8202" max="8202" width="10.140625" customWidth="1"/>
    <col min="8203" max="8203" width="11.7109375" customWidth="1"/>
    <col min="8204" max="8205" width="12.5703125" customWidth="1"/>
    <col min="8206" max="8206" width="15.28515625" customWidth="1"/>
    <col min="8207" max="8207" width="17" customWidth="1"/>
    <col min="8208" max="8208" width="19.42578125" bestFit="1" customWidth="1"/>
    <col min="8209" max="8209" width="25.42578125" customWidth="1"/>
    <col min="8449" max="8449" width="4.42578125" customWidth="1"/>
    <col min="8450" max="8450" width="10.28515625" customWidth="1"/>
    <col min="8451" max="8451" width="26.85546875" bestFit="1" customWidth="1"/>
    <col min="8452" max="8452" width="10.85546875" customWidth="1"/>
    <col min="8453" max="8453" width="25.42578125" customWidth="1"/>
    <col min="8454" max="8454" width="16.42578125" bestFit="1" customWidth="1"/>
    <col min="8455" max="8455" width="14" customWidth="1"/>
    <col min="8456" max="8456" width="14.42578125" customWidth="1"/>
    <col min="8457" max="8457" width="14.5703125" customWidth="1"/>
    <col min="8458" max="8458" width="10.140625" customWidth="1"/>
    <col min="8459" max="8459" width="11.7109375" customWidth="1"/>
    <col min="8460" max="8461" width="12.5703125" customWidth="1"/>
    <col min="8462" max="8462" width="15.28515625" customWidth="1"/>
    <col min="8463" max="8463" width="17" customWidth="1"/>
    <col min="8464" max="8464" width="19.42578125" bestFit="1" customWidth="1"/>
    <col min="8465" max="8465" width="25.42578125" customWidth="1"/>
    <col min="8705" max="8705" width="4.42578125" customWidth="1"/>
    <col min="8706" max="8706" width="10.28515625" customWidth="1"/>
    <col min="8707" max="8707" width="26.85546875" bestFit="1" customWidth="1"/>
    <col min="8708" max="8708" width="10.85546875" customWidth="1"/>
    <col min="8709" max="8709" width="25.42578125" customWidth="1"/>
    <col min="8710" max="8710" width="16.42578125" bestFit="1" customWidth="1"/>
    <col min="8711" max="8711" width="14" customWidth="1"/>
    <col min="8712" max="8712" width="14.42578125" customWidth="1"/>
    <col min="8713" max="8713" width="14.5703125" customWidth="1"/>
    <col min="8714" max="8714" width="10.140625" customWidth="1"/>
    <col min="8715" max="8715" width="11.7109375" customWidth="1"/>
    <col min="8716" max="8717" width="12.5703125" customWidth="1"/>
    <col min="8718" max="8718" width="15.28515625" customWidth="1"/>
    <col min="8719" max="8719" width="17" customWidth="1"/>
    <col min="8720" max="8720" width="19.42578125" bestFit="1" customWidth="1"/>
    <col min="8721" max="8721" width="25.42578125" customWidth="1"/>
    <col min="8961" max="8961" width="4.42578125" customWidth="1"/>
    <col min="8962" max="8962" width="10.28515625" customWidth="1"/>
    <col min="8963" max="8963" width="26.85546875" bestFit="1" customWidth="1"/>
    <col min="8964" max="8964" width="10.85546875" customWidth="1"/>
    <col min="8965" max="8965" width="25.42578125" customWidth="1"/>
    <col min="8966" max="8966" width="16.42578125" bestFit="1" customWidth="1"/>
    <col min="8967" max="8967" width="14" customWidth="1"/>
    <col min="8968" max="8968" width="14.42578125" customWidth="1"/>
    <col min="8969" max="8969" width="14.5703125" customWidth="1"/>
    <col min="8970" max="8970" width="10.140625" customWidth="1"/>
    <col min="8971" max="8971" width="11.7109375" customWidth="1"/>
    <col min="8972" max="8973" width="12.5703125" customWidth="1"/>
    <col min="8974" max="8974" width="15.28515625" customWidth="1"/>
    <col min="8975" max="8975" width="17" customWidth="1"/>
    <col min="8976" max="8976" width="19.42578125" bestFit="1" customWidth="1"/>
    <col min="8977" max="8977" width="25.42578125" customWidth="1"/>
    <col min="9217" max="9217" width="4.42578125" customWidth="1"/>
    <col min="9218" max="9218" width="10.28515625" customWidth="1"/>
    <col min="9219" max="9219" width="26.85546875" bestFit="1" customWidth="1"/>
    <col min="9220" max="9220" width="10.85546875" customWidth="1"/>
    <col min="9221" max="9221" width="25.42578125" customWidth="1"/>
    <col min="9222" max="9222" width="16.42578125" bestFit="1" customWidth="1"/>
    <col min="9223" max="9223" width="14" customWidth="1"/>
    <col min="9224" max="9224" width="14.42578125" customWidth="1"/>
    <col min="9225" max="9225" width="14.5703125" customWidth="1"/>
    <col min="9226" max="9226" width="10.140625" customWidth="1"/>
    <col min="9227" max="9227" width="11.7109375" customWidth="1"/>
    <col min="9228" max="9229" width="12.5703125" customWidth="1"/>
    <col min="9230" max="9230" width="15.28515625" customWidth="1"/>
    <col min="9231" max="9231" width="17" customWidth="1"/>
    <col min="9232" max="9232" width="19.42578125" bestFit="1" customWidth="1"/>
    <col min="9233" max="9233" width="25.42578125" customWidth="1"/>
    <col min="9473" max="9473" width="4.42578125" customWidth="1"/>
    <col min="9474" max="9474" width="10.28515625" customWidth="1"/>
    <col min="9475" max="9475" width="26.85546875" bestFit="1" customWidth="1"/>
    <col min="9476" max="9476" width="10.85546875" customWidth="1"/>
    <col min="9477" max="9477" width="25.42578125" customWidth="1"/>
    <col min="9478" max="9478" width="16.42578125" bestFit="1" customWidth="1"/>
    <col min="9479" max="9479" width="14" customWidth="1"/>
    <col min="9480" max="9480" width="14.42578125" customWidth="1"/>
    <col min="9481" max="9481" width="14.5703125" customWidth="1"/>
    <col min="9482" max="9482" width="10.140625" customWidth="1"/>
    <col min="9483" max="9483" width="11.7109375" customWidth="1"/>
    <col min="9484" max="9485" width="12.5703125" customWidth="1"/>
    <col min="9486" max="9486" width="15.28515625" customWidth="1"/>
    <col min="9487" max="9487" width="17" customWidth="1"/>
    <col min="9488" max="9488" width="19.42578125" bestFit="1" customWidth="1"/>
    <col min="9489" max="9489" width="25.42578125" customWidth="1"/>
    <col min="9729" max="9729" width="4.42578125" customWidth="1"/>
    <col min="9730" max="9730" width="10.28515625" customWidth="1"/>
    <col min="9731" max="9731" width="26.85546875" bestFit="1" customWidth="1"/>
    <col min="9732" max="9732" width="10.85546875" customWidth="1"/>
    <col min="9733" max="9733" width="25.42578125" customWidth="1"/>
    <col min="9734" max="9734" width="16.42578125" bestFit="1" customWidth="1"/>
    <col min="9735" max="9735" width="14" customWidth="1"/>
    <col min="9736" max="9736" width="14.42578125" customWidth="1"/>
    <col min="9737" max="9737" width="14.5703125" customWidth="1"/>
    <col min="9738" max="9738" width="10.140625" customWidth="1"/>
    <col min="9739" max="9739" width="11.7109375" customWidth="1"/>
    <col min="9740" max="9741" width="12.5703125" customWidth="1"/>
    <col min="9742" max="9742" width="15.28515625" customWidth="1"/>
    <col min="9743" max="9743" width="17" customWidth="1"/>
    <col min="9744" max="9744" width="19.42578125" bestFit="1" customWidth="1"/>
    <col min="9745" max="9745" width="25.42578125" customWidth="1"/>
    <col min="9985" max="9985" width="4.42578125" customWidth="1"/>
    <col min="9986" max="9986" width="10.28515625" customWidth="1"/>
    <col min="9987" max="9987" width="26.85546875" bestFit="1" customWidth="1"/>
    <col min="9988" max="9988" width="10.85546875" customWidth="1"/>
    <col min="9989" max="9989" width="25.42578125" customWidth="1"/>
    <col min="9990" max="9990" width="16.42578125" bestFit="1" customWidth="1"/>
    <col min="9991" max="9991" width="14" customWidth="1"/>
    <col min="9992" max="9992" width="14.42578125" customWidth="1"/>
    <col min="9993" max="9993" width="14.5703125" customWidth="1"/>
    <col min="9994" max="9994" width="10.140625" customWidth="1"/>
    <col min="9995" max="9995" width="11.7109375" customWidth="1"/>
    <col min="9996" max="9997" width="12.5703125" customWidth="1"/>
    <col min="9998" max="9998" width="15.28515625" customWidth="1"/>
    <col min="9999" max="9999" width="17" customWidth="1"/>
    <col min="10000" max="10000" width="19.42578125" bestFit="1" customWidth="1"/>
    <col min="10001" max="10001" width="25.42578125" customWidth="1"/>
    <col min="10241" max="10241" width="4.42578125" customWidth="1"/>
    <col min="10242" max="10242" width="10.28515625" customWidth="1"/>
    <col min="10243" max="10243" width="26.85546875" bestFit="1" customWidth="1"/>
    <col min="10244" max="10244" width="10.85546875" customWidth="1"/>
    <col min="10245" max="10245" width="25.42578125" customWidth="1"/>
    <col min="10246" max="10246" width="16.42578125" bestFit="1" customWidth="1"/>
    <col min="10247" max="10247" width="14" customWidth="1"/>
    <col min="10248" max="10248" width="14.42578125" customWidth="1"/>
    <col min="10249" max="10249" width="14.5703125" customWidth="1"/>
    <col min="10250" max="10250" width="10.140625" customWidth="1"/>
    <col min="10251" max="10251" width="11.7109375" customWidth="1"/>
    <col min="10252" max="10253" width="12.5703125" customWidth="1"/>
    <col min="10254" max="10254" width="15.28515625" customWidth="1"/>
    <col min="10255" max="10255" width="17" customWidth="1"/>
    <col min="10256" max="10256" width="19.42578125" bestFit="1" customWidth="1"/>
    <col min="10257" max="10257" width="25.42578125" customWidth="1"/>
    <col min="10497" max="10497" width="4.42578125" customWidth="1"/>
    <col min="10498" max="10498" width="10.28515625" customWidth="1"/>
    <col min="10499" max="10499" width="26.85546875" bestFit="1" customWidth="1"/>
    <col min="10500" max="10500" width="10.85546875" customWidth="1"/>
    <col min="10501" max="10501" width="25.42578125" customWidth="1"/>
    <col min="10502" max="10502" width="16.42578125" bestFit="1" customWidth="1"/>
    <col min="10503" max="10503" width="14" customWidth="1"/>
    <col min="10504" max="10504" width="14.42578125" customWidth="1"/>
    <col min="10505" max="10505" width="14.5703125" customWidth="1"/>
    <col min="10506" max="10506" width="10.140625" customWidth="1"/>
    <col min="10507" max="10507" width="11.7109375" customWidth="1"/>
    <col min="10508" max="10509" width="12.5703125" customWidth="1"/>
    <col min="10510" max="10510" width="15.28515625" customWidth="1"/>
    <col min="10511" max="10511" width="17" customWidth="1"/>
    <col min="10512" max="10512" width="19.42578125" bestFit="1" customWidth="1"/>
    <col min="10513" max="10513" width="25.42578125" customWidth="1"/>
    <col min="10753" max="10753" width="4.42578125" customWidth="1"/>
    <col min="10754" max="10754" width="10.28515625" customWidth="1"/>
    <col min="10755" max="10755" width="26.85546875" bestFit="1" customWidth="1"/>
    <col min="10756" max="10756" width="10.85546875" customWidth="1"/>
    <col min="10757" max="10757" width="25.42578125" customWidth="1"/>
    <col min="10758" max="10758" width="16.42578125" bestFit="1" customWidth="1"/>
    <col min="10759" max="10759" width="14" customWidth="1"/>
    <col min="10760" max="10760" width="14.42578125" customWidth="1"/>
    <col min="10761" max="10761" width="14.5703125" customWidth="1"/>
    <col min="10762" max="10762" width="10.140625" customWidth="1"/>
    <col min="10763" max="10763" width="11.7109375" customWidth="1"/>
    <col min="10764" max="10765" width="12.5703125" customWidth="1"/>
    <col min="10766" max="10766" width="15.28515625" customWidth="1"/>
    <col min="10767" max="10767" width="17" customWidth="1"/>
    <col min="10768" max="10768" width="19.42578125" bestFit="1" customWidth="1"/>
    <col min="10769" max="10769" width="25.42578125" customWidth="1"/>
    <col min="11009" max="11009" width="4.42578125" customWidth="1"/>
    <col min="11010" max="11010" width="10.28515625" customWidth="1"/>
    <col min="11011" max="11011" width="26.85546875" bestFit="1" customWidth="1"/>
    <col min="11012" max="11012" width="10.85546875" customWidth="1"/>
    <col min="11013" max="11013" width="25.42578125" customWidth="1"/>
    <col min="11014" max="11014" width="16.42578125" bestFit="1" customWidth="1"/>
    <col min="11015" max="11015" width="14" customWidth="1"/>
    <col min="11016" max="11016" width="14.42578125" customWidth="1"/>
    <col min="11017" max="11017" width="14.5703125" customWidth="1"/>
    <col min="11018" max="11018" width="10.140625" customWidth="1"/>
    <col min="11019" max="11019" width="11.7109375" customWidth="1"/>
    <col min="11020" max="11021" width="12.5703125" customWidth="1"/>
    <col min="11022" max="11022" width="15.28515625" customWidth="1"/>
    <col min="11023" max="11023" width="17" customWidth="1"/>
    <col min="11024" max="11024" width="19.42578125" bestFit="1" customWidth="1"/>
    <col min="11025" max="11025" width="25.42578125" customWidth="1"/>
    <col min="11265" max="11265" width="4.42578125" customWidth="1"/>
    <col min="11266" max="11266" width="10.28515625" customWidth="1"/>
    <col min="11267" max="11267" width="26.85546875" bestFit="1" customWidth="1"/>
    <col min="11268" max="11268" width="10.85546875" customWidth="1"/>
    <col min="11269" max="11269" width="25.42578125" customWidth="1"/>
    <col min="11270" max="11270" width="16.42578125" bestFit="1" customWidth="1"/>
    <col min="11271" max="11271" width="14" customWidth="1"/>
    <col min="11272" max="11272" width="14.42578125" customWidth="1"/>
    <col min="11273" max="11273" width="14.5703125" customWidth="1"/>
    <col min="11274" max="11274" width="10.140625" customWidth="1"/>
    <col min="11275" max="11275" width="11.7109375" customWidth="1"/>
    <col min="11276" max="11277" width="12.5703125" customWidth="1"/>
    <col min="11278" max="11278" width="15.28515625" customWidth="1"/>
    <col min="11279" max="11279" width="17" customWidth="1"/>
    <col min="11280" max="11280" width="19.42578125" bestFit="1" customWidth="1"/>
    <col min="11281" max="11281" width="25.42578125" customWidth="1"/>
    <col min="11521" max="11521" width="4.42578125" customWidth="1"/>
    <col min="11522" max="11522" width="10.28515625" customWidth="1"/>
    <col min="11523" max="11523" width="26.85546875" bestFit="1" customWidth="1"/>
    <col min="11524" max="11524" width="10.85546875" customWidth="1"/>
    <col min="11525" max="11525" width="25.42578125" customWidth="1"/>
    <col min="11526" max="11526" width="16.42578125" bestFit="1" customWidth="1"/>
    <col min="11527" max="11527" width="14" customWidth="1"/>
    <col min="11528" max="11528" width="14.42578125" customWidth="1"/>
    <col min="11529" max="11529" width="14.5703125" customWidth="1"/>
    <col min="11530" max="11530" width="10.140625" customWidth="1"/>
    <col min="11531" max="11531" width="11.7109375" customWidth="1"/>
    <col min="11532" max="11533" width="12.5703125" customWidth="1"/>
    <col min="11534" max="11534" width="15.28515625" customWidth="1"/>
    <col min="11535" max="11535" width="17" customWidth="1"/>
    <col min="11536" max="11536" width="19.42578125" bestFit="1" customWidth="1"/>
    <col min="11537" max="11537" width="25.42578125" customWidth="1"/>
    <col min="11777" max="11777" width="4.42578125" customWidth="1"/>
    <col min="11778" max="11778" width="10.28515625" customWidth="1"/>
    <col min="11779" max="11779" width="26.85546875" bestFit="1" customWidth="1"/>
    <col min="11780" max="11780" width="10.85546875" customWidth="1"/>
    <col min="11781" max="11781" width="25.42578125" customWidth="1"/>
    <col min="11782" max="11782" width="16.42578125" bestFit="1" customWidth="1"/>
    <col min="11783" max="11783" width="14" customWidth="1"/>
    <col min="11784" max="11784" width="14.42578125" customWidth="1"/>
    <col min="11785" max="11785" width="14.5703125" customWidth="1"/>
    <col min="11786" max="11786" width="10.140625" customWidth="1"/>
    <col min="11787" max="11787" width="11.7109375" customWidth="1"/>
    <col min="11788" max="11789" width="12.5703125" customWidth="1"/>
    <col min="11790" max="11790" width="15.28515625" customWidth="1"/>
    <col min="11791" max="11791" width="17" customWidth="1"/>
    <col min="11792" max="11792" width="19.42578125" bestFit="1" customWidth="1"/>
    <col min="11793" max="11793" width="25.42578125" customWidth="1"/>
    <col min="12033" max="12033" width="4.42578125" customWidth="1"/>
    <col min="12034" max="12034" width="10.28515625" customWidth="1"/>
    <col min="12035" max="12035" width="26.85546875" bestFit="1" customWidth="1"/>
    <col min="12036" max="12036" width="10.85546875" customWidth="1"/>
    <col min="12037" max="12037" width="25.42578125" customWidth="1"/>
    <col min="12038" max="12038" width="16.42578125" bestFit="1" customWidth="1"/>
    <col min="12039" max="12039" width="14" customWidth="1"/>
    <col min="12040" max="12040" width="14.42578125" customWidth="1"/>
    <col min="12041" max="12041" width="14.5703125" customWidth="1"/>
    <col min="12042" max="12042" width="10.140625" customWidth="1"/>
    <col min="12043" max="12043" width="11.7109375" customWidth="1"/>
    <col min="12044" max="12045" width="12.5703125" customWidth="1"/>
    <col min="12046" max="12046" width="15.28515625" customWidth="1"/>
    <col min="12047" max="12047" width="17" customWidth="1"/>
    <col min="12048" max="12048" width="19.42578125" bestFit="1" customWidth="1"/>
    <col min="12049" max="12049" width="25.42578125" customWidth="1"/>
    <col min="12289" max="12289" width="4.42578125" customWidth="1"/>
    <col min="12290" max="12290" width="10.28515625" customWidth="1"/>
    <col min="12291" max="12291" width="26.85546875" bestFit="1" customWidth="1"/>
    <col min="12292" max="12292" width="10.85546875" customWidth="1"/>
    <col min="12293" max="12293" width="25.42578125" customWidth="1"/>
    <col min="12294" max="12294" width="16.42578125" bestFit="1" customWidth="1"/>
    <col min="12295" max="12295" width="14" customWidth="1"/>
    <col min="12296" max="12296" width="14.42578125" customWidth="1"/>
    <col min="12297" max="12297" width="14.5703125" customWidth="1"/>
    <col min="12298" max="12298" width="10.140625" customWidth="1"/>
    <col min="12299" max="12299" width="11.7109375" customWidth="1"/>
    <col min="12300" max="12301" width="12.5703125" customWidth="1"/>
    <col min="12302" max="12302" width="15.28515625" customWidth="1"/>
    <col min="12303" max="12303" width="17" customWidth="1"/>
    <col min="12304" max="12304" width="19.42578125" bestFit="1" customWidth="1"/>
    <col min="12305" max="12305" width="25.42578125" customWidth="1"/>
    <col min="12545" max="12545" width="4.42578125" customWidth="1"/>
    <col min="12546" max="12546" width="10.28515625" customWidth="1"/>
    <col min="12547" max="12547" width="26.85546875" bestFit="1" customWidth="1"/>
    <col min="12548" max="12548" width="10.85546875" customWidth="1"/>
    <col min="12549" max="12549" width="25.42578125" customWidth="1"/>
    <col min="12550" max="12550" width="16.42578125" bestFit="1" customWidth="1"/>
    <col min="12551" max="12551" width="14" customWidth="1"/>
    <col min="12552" max="12552" width="14.42578125" customWidth="1"/>
    <col min="12553" max="12553" width="14.5703125" customWidth="1"/>
    <col min="12554" max="12554" width="10.140625" customWidth="1"/>
    <col min="12555" max="12555" width="11.7109375" customWidth="1"/>
    <col min="12556" max="12557" width="12.5703125" customWidth="1"/>
    <col min="12558" max="12558" width="15.28515625" customWidth="1"/>
    <col min="12559" max="12559" width="17" customWidth="1"/>
    <col min="12560" max="12560" width="19.42578125" bestFit="1" customWidth="1"/>
    <col min="12561" max="12561" width="25.42578125" customWidth="1"/>
    <col min="12801" max="12801" width="4.42578125" customWidth="1"/>
    <col min="12802" max="12802" width="10.28515625" customWidth="1"/>
    <col min="12803" max="12803" width="26.85546875" bestFit="1" customWidth="1"/>
    <col min="12804" max="12804" width="10.85546875" customWidth="1"/>
    <col min="12805" max="12805" width="25.42578125" customWidth="1"/>
    <col min="12806" max="12806" width="16.42578125" bestFit="1" customWidth="1"/>
    <col min="12807" max="12807" width="14" customWidth="1"/>
    <col min="12808" max="12808" width="14.42578125" customWidth="1"/>
    <col min="12809" max="12809" width="14.5703125" customWidth="1"/>
    <col min="12810" max="12810" width="10.140625" customWidth="1"/>
    <col min="12811" max="12811" width="11.7109375" customWidth="1"/>
    <col min="12812" max="12813" width="12.5703125" customWidth="1"/>
    <col min="12814" max="12814" width="15.28515625" customWidth="1"/>
    <col min="12815" max="12815" width="17" customWidth="1"/>
    <col min="12816" max="12816" width="19.42578125" bestFit="1" customWidth="1"/>
    <col min="12817" max="12817" width="25.42578125" customWidth="1"/>
    <col min="13057" max="13057" width="4.42578125" customWidth="1"/>
    <col min="13058" max="13058" width="10.28515625" customWidth="1"/>
    <col min="13059" max="13059" width="26.85546875" bestFit="1" customWidth="1"/>
    <col min="13060" max="13060" width="10.85546875" customWidth="1"/>
    <col min="13061" max="13061" width="25.42578125" customWidth="1"/>
    <col min="13062" max="13062" width="16.42578125" bestFit="1" customWidth="1"/>
    <col min="13063" max="13063" width="14" customWidth="1"/>
    <col min="13064" max="13064" width="14.42578125" customWidth="1"/>
    <col min="13065" max="13065" width="14.5703125" customWidth="1"/>
    <col min="13066" max="13066" width="10.140625" customWidth="1"/>
    <col min="13067" max="13067" width="11.7109375" customWidth="1"/>
    <col min="13068" max="13069" width="12.5703125" customWidth="1"/>
    <col min="13070" max="13070" width="15.28515625" customWidth="1"/>
    <col min="13071" max="13071" width="17" customWidth="1"/>
    <col min="13072" max="13072" width="19.42578125" bestFit="1" customWidth="1"/>
    <col min="13073" max="13073" width="25.42578125" customWidth="1"/>
    <col min="13313" max="13313" width="4.42578125" customWidth="1"/>
    <col min="13314" max="13314" width="10.28515625" customWidth="1"/>
    <col min="13315" max="13315" width="26.85546875" bestFit="1" customWidth="1"/>
    <col min="13316" max="13316" width="10.85546875" customWidth="1"/>
    <col min="13317" max="13317" width="25.42578125" customWidth="1"/>
    <col min="13318" max="13318" width="16.42578125" bestFit="1" customWidth="1"/>
    <col min="13319" max="13319" width="14" customWidth="1"/>
    <col min="13320" max="13320" width="14.42578125" customWidth="1"/>
    <col min="13321" max="13321" width="14.5703125" customWidth="1"/>
    <col min="13322" max="13322" width="10.140625" customWidth="1"/>
    <col min="13323" max="13323" width="11.7109375" customWidth="1"/>
    <col min="13324" max="13325" width="12.5703125" customWidth="1"/>
    <col min="13326" max="13326" width="15.28515625" customWidth="1"/>
    <col min="13327" max="13327" width="17" customWidth="1"/>
    <col min="13328" max="13328" width="19.42578125" bestFit="1" customWidth="1"/>
    <col min="13329" max="13329" width="25.42578125" customWidth="1"/>
    <col min="13569" max="13569" width="4.42578125" customWidth="1"/>
    <col min="13570" max="13570" width="10.28515625" customWidth="1"/>
    <col min="13571" max="13571" width="26.85546875" bestFit="1" customWidth="1"/>
    <col min="13572" max="13572" width="10.85546875" customWidth="1"/>
    <col min="13573" max="13573" width="25.42578125" customWidth="1"/>
    <col min="13574" max="13574" width="16.42578125" bestFit="1" customWidth="1"/>
    <col min="13575" max="13575" width="14" customWidth="1"/>
    <col min="13576" max="13576" width="14.42578125" customWidth="1"/>
    <col min="13577" max="13577" width="14.5703125" customWidth="1"/>
    <col min="13578" max="13578" width="10.140625" customWidth="1"/>
    <col min="13579" max="13579" width="11.7109375" customWidth="1"/>
    <col min="13580" max="13581" width="12.5703125" customWidth="1"/>
    <col min="13582" max="13582" width="15.28515625" customWidth="1"/>
    <col min="13583" max="13583" width="17" customWidth="1"/>
    <col min="13584" max="13584" width="19.42578125" bestFit="1" customWidth="1"/>
    <col min="13585" max="13585" width="25.42578125" customWidth="1"/>
    <col min="13825" max="13825" width="4.42578125" customWidth="1"/>
    <col min="13826" max="13826" width="10.28515625" customWidth="1"/>
    <col min="13827" max="13827" width="26.85546875" bestFit="1" customWidth="1"/>
    <col min="13828" max="13828" width="10.85546875" customWidth="1"/>
    <col min="13829" max="13829" width="25.42578125" customWidth="1"/>
    <col min="13830" max="13830" width="16.42578125" bestFit="1" customWidth="1"/>
    <col min="13831" max="13831" width="14" customWidth="1"/>
    <col min="13832" max="13832" width="14.42578125" customWidth="1"/>
    <col min="13833" max="13833" width="14.5703125" customWidth="1"/>
    <col min="13834" max="13834" width="10.140625" customWidth="1"/>
    <col min="13835" max="13835" width="11.7109375" customWidth="1"/>
    <col min="13836" max="13837" width="12.5703125" customWidth="1"/>
    <col min="13838" max="13838" width="15.28515625" customWidth="1"/>
    <col min="13839" max="13839" width="17" customWidth="1"/>
    <col min="13840" max="13840" width="19.42578125" bestFit="1" customWidth="1"/>
    <col min="13841" max="13841" width="25.42578125" customWidth="1"/>
    <col min="14081" max="14081" width="4.42578125" customWidth="1"/>
    <col min="14082" max="14082" width="10.28515625" customWidth="1"/>
    <col min="14083" max="14083" width="26.85546875" bestFit="1" customWidth="1"/>
    <col min="14084" max="14084" width="10.85546875" customWidth="1"/>
    <col min="14085" max="14085" width="25.42578125" customWidth="1"/>
    <col min="14086" max="14086" width="16.42578125" bestFit="1" customWidth="1"/>
    <col min="14087" max="14087" width="14" customWidth="1"/>
    <col min="14088" max="14088" width="14.42578125" customWidth="1"/>
    <col min="14089" max="14089" width="14.5703125" customWidth="1"/>
    <col min="14090" max="14090" width="10.140625" customWidth="1"/>
    <col min="14091" max="14091" width="11.7109375" customWidth="1"/>
    <col min="14092" max="14093" width="12.5703125" customWidth="1"/>
    <col min="14094" max="14094" width="15.28515625" customWidth="1"/>
    <col min="14095" max="14095" width="17" customWidth="1"/>
    <col min="14096" max="14096" width="19.42578125" bestFit="1" customWidth="1"/>
    <col min="14097" max="14097" width="25.42578125" customWidth="1"/>
    <col min="14337" max="14337" width="4.42578125" customWidth="1"/>
    <col min="14338" max="14338" width="10.28515625" customWidth="1"/>
    <col min="14339" max="14339" width="26.85546875" bestFit="1" customWidth="1"/>
    <col min="14340" max="14340" width="10.85546875" customWidth="1"/>
    <col min="14341" max="14341" width="25.42578125" customWidth="1"/>
    <col min="14342" max="14342" width="16.42578125" bestFit="1" customWidth="1"/>
    <col min="14343" max="14343" width="14" customWidth="1"/>
    <col min="14344" max="14344" width="14.42578125" customWidth="1"/>
    <col min="14345" max="14345" width="14.5703125" customWidth="1"/>
    <col min="14346" max="14346" width="10.140625" customWidth="1"/>
    <col min="14347" max="14347" width="11.7109375" customWidth="1"/>
    <col min="14348" max="14349" width="12.5703125" customWidth="1"/>
    <col min="14350" max="14350" width="15.28515625" customWidth="1"/>
    <col min="14351" max="14351" width="17" customWidth="1"/>
    <col min="14352" max="14352" width="19.42578125" bestFit="1" customWidth="1"/>
    <col min="14353" max="14353" width="25.42578125" customWidth="1"/>
    <col min="14593" max="14593" width="4.42578125" customWidth="1"/>
    <col min="14594" max="14594" width="10.28515625" customWidth="1"/>
    <col min="14595" max="14595" width="26.85546875" bestFit="1" customWidth="1"/>
    <col min="14596" max="14596" width="10.85546875" customWidth="1"/>
    <col min="14597" max="14597" width="25.42578125" customWidth="1"/>
    <col min="14598" max="14598" width="16.42578125" bestFit="1" customWidth="1"/>
    <col min="14599" max="14599" width="14" customWidth="1"/>
    <col min="14600" max="14600" width="14.42578125" customWidth="1"/>
    <col min="14601" max="14601" width="14.5703125" customWidth="1"/>
    <col min="14602" max="14602" width="10.140625" customWidth="1"/>
    <col min="14603" max="14603" width="11.7109375" customWidth="1"/>
    <col min="14604" max="14605" width="12.5703125" customWidth="1"/>
    <col min="14606" max="14606" width="15.28515625" customWidth="1"/>
    <col min="14607" max="14607" width="17" customWidth="1"/>
    <col min="14608" max="14608" width="19.42578125" bestFit="1" customWidth="1"/>
    <col min="14609" max="14609" width="25.42578125" customWidth="1"/>
    <col min="14849" max="14849" width="4.42578125" customWidth="1"/>
    <col min="14850" max="14850" width="10.28515625" customWidth="1"/>
    <col min="14851" max="14851" width="26.85546875" bestFit="1" customWidth="1"/>
    <col min="14852" max="14852" width="10.85546875" customWidth="1"/>
    <col min="14853" max="14853" width="25.42578125" customWidth="1"/>
    <col min="14854" max="14854" width="16.42578125" bestFit="1" customWidth="1"/>
    <col min="14855" max="14855" width="14" customWidth="1"/>
    <col min="14856" max="14856" width="14.42578125" customWidth="1"/>
    <col min="14857" max="14857" width="14.5703125" customWidth="1"/>
    <col min="14858" max="14858" width="10.140625" customWidth="1"/>
    <col min="14859" max="14859" width="11.7109375" customWidth="1"/>
    <col min="14860" max="14861" width="12.5703125" customWidth="1"/>
    <col min="14862" max="14862" width="15.28515625" customWidth="1"/>
    <col min="14863" max="14863" width="17" customWidth="1"/>
    <col min="14864" max="14864" width="19.42578125" bestFit="1" customWidth="1"/>
    <col min="14865" max="14865" width="25.42578125" customWidth="1"/>
    <col min="15105" max="15105" width="4.42578125" customWidth="1"/>
    <col min="15106" max="15106" width="10.28515625" customWidth="1"/>
    <col min="15107" max="15107" width="26.85546875" bestFit="1" customWidth="1"/>
    <col min="15108" max="15108" width="10.85546875" customWidth="1"/>
    <col min="15109" max="15109" width="25.42578125" customWidth="1"/>
    <col min="15110" max="15110" width="16.42578125" bestFit="1" customWidth="1"/>
    <col min="15111" max="15111" width="14" customWidth="1"/>
    <col min="15112" max="15112" width="14.42578125" customWidth="1"/>
    <col min="15113" max="15113" width="14.5703125" customWidth="1"/>
    <col min="15114" max="15114" width="10.140625" customWidth="1"/>
    <col min="15115" max="15115" width="11.7109375" customWidth="1"/>
    <col min="15116" max="15117" width="12.5703125" customWidth="1"/>
    <col min="15118" max="15118" width="15.28515625" customWidth="1"/>
    <col min="15119" max="15119" width="17" customWidth="1"/>
    <col min="15120" max="15120" width="19.42578125" bestFit="1" customWidth="1"/>
    <col min="15121" max="15121" width="25.42578125" customWidth="1"/>
    <col min="15361" max="15361" width="4.42578125" customWidth="1"/>
    <col min="15362" max="15362" width="10.28515625" customWidth="1"/>
    <col min="15363" max="15363" width="26.85546875" bestFit="1" customWidth="1"/>
    <col min="15364" max="15364" width="10.85546875" customWidth="1"/>
    <col min="15365" max="15365" width="25.42578125" customWidth="1"/>
    <col min="15366" max="15366" width="16.42578125" bestFit="1" customWidth="1"/>
    <col min="15367" max="15367" width="14" customWidth="1"/>
    <col min="15368" max="15368" width="14.42578125" customWidth="1"/>
    <col min="15369" max="15369" width="14.5703125" customWidth="1"/>
    <col min="15370" max="15370" width="10.140625" customWidth="1"/>
    <col min="15371" max="15371" width="11.7109375" customWidth="1"/>
    <col min="15372" max="15373" width="12.5703125" customWidth="1"/>
    <col min="15374" max="15374" width="15.28515625" customWidth="1"/>
    <col min="15375" max="15375" width="17" customWidth="1"/>
    <col min="15376" max="15376" width="19.42578125" bestFit="1" customWidth="1"/>
    <col min="15377" max="15377" width="25.42578125" customWidth="1"/>
    <col min="15617" max="15617" width="4.42578125" customWidth="1"/>
    <col min="15618" max="15618" width="10.28515625" customWidth="1"/>
    <col min="15619" max="15619" width="26.85546875" bestFit="1" customWidth="1"/>
    <col min="15620" max="15620" width="10.85546875" customWidth="1"/>
    <col min="15621" max="15621" width="25.42578125" customWidth="1"/>
    <col min="15622" max="15622" width="16.42578125" bestFit="1" customWidth="1"/>
    <col min="15623" max="15623" width="14" customWidth="1"/>
    <col min="15624" max="15624" width="14.42578125" customWidth="1"/>
    <col min="15625" max="15625" width="14.5703125" customWidth="1"/>
    <col min="15626" max="15626" width="10.140625" customWidth="1"/>
    <col min="15627" max="15627" width="11.7109375" customWidth="1"/>
    <col min="15628" max="15629" width="12.5703125" customWidth="1"/>
    <col min="15630" max="15630" width="15.28515625" customWidth="1"/>
    <col min="15631" max="15631" width="17" customWidth="1"/>
    <col min="15632" max="15632" width="19.42578125" bestFit="1" customWidth="1"/>
    <col min="15633" max="15633" width="25.42578125" customWidth="1"/>
    <col min="15873" max="15873" width="4.42578125" customWidth="1"/>
    <col min="15874" max="15874" width="10.28515625" customWidth="1"/>
    <col min="15875" max="15875" width="26.85546875" bestFit="1" customWidth="1"/>
    <col min="15876" max="15876" width="10.85546875" customWidth="1"/>
    <col min="15877" max="15877" width="25.42578125" customWidth="1"/>
    <col min="15878" max="15878" width="16.42578125" bestFit="1" customWidth="1"/>
    <col min="15879" max="15879" width="14" customWidth="1"/>
    <col min="15880" max="15880" width="14.42578125" customWidth="1"/>
    <col min="15881" max="15881" width="14.5703125" customWidth="1"/>
    <col min="15882" max="15882" width="10.140625" customWidth="1"/>
    <col min="15883" max="15883" width="11.7109375" customWidth="1"/>
    <col min="15884" max="15885" width="12.5703125" customWidth="1"/>
    <col min="15886" max="15886" width="15.28515625" customWidth="1"/>
    <col min="15887" max="15887" width="17" customWidth="1"/>
    <col min="15888" max="15888" width="19.42578125" bestFit="1" customWidth="1"/>
    <col min="15889" max="15889" width="25.42578125" customWidth="1"/>
    <col min="16129" max="16129" width="4.42578125" customWidth="1"/>
    <col min="16130" max="16130" width="10.28515625" customWidth="1"/>
    <col min="16131" max="16131" width="26.85546875" bestFit="1" customWidth="1"/>
    <col min="16132" max="16132" width="10.85546875" customWidth="1"/>
    <col min="16133" max="16133" width="25.42578125" customWidth="1"/>
    <col min="16134" max="16134" width="16.42578125" bestFit="1" customWidth="1"/>
    <col min="16135" max="16135" width="14" customWidth="1"/>
    <col min="16136" max="16136" width="14.42578125" customWidth="1"/>
    <col min="16137" max="16137" width="14.5703125" customWidth="1"/>
    <col min="16138" max="16138" width="10.140625" customWidth="1"/>
    <col min="16139" max="16139" width="11.7109375" customWidth="1"/>
    <col min="16140" max="16141" width="12.5703125" customWidth="1"/>
    <col min="16142" max="16142" width="15.28515625" customWidth="1"/>
    <col min="16143" max="16143" width="17" customWidth="1"/>
    <col min="16144" max="16144" width="19.42578125" bestFit="1" customWidth="1"/>
    <col min="16145" max="16145" width="25.42578125" customWidth="1"/>
  </cols>
  <sheetData>
    <row r="1" spans="1:27">
      <c r="A1" s="158"/>
      <c r="B1" s="158"/>
      <c r="C1" s="167" t="s">
        <v>311</v>
      </c>
      <c r="D1" s="158"/>
      <c r="E1" s="158"/>
      <c r="F1" s="158"/>
      <c r="G1" s="167" t="s">
        <v>139</v>
      </c>
      <c r="H1" s="158"/>
      <c r="I1" s="158"/>
      <c r="J1" s="158"/>
      <c r="K1" s="158"/>
      <c r="L1" s="158"/>
      <c r="M1" s="158"/>
      <c r="N1" s="158"/>
      <c r="O1" s="158"/>
      <c r="P1" s="167" t="s">
        <v>175</v>
      </c>
      <c r="Q1" s="198">
        <f>Q7+Q9+Q29</f>
        <v>-13818.529999999999</v>
      </c>
      <c r="R1" s="158"/>
      <c r="S1" s="158"/>
    </row>
    <row r="2" spans="1:27" ht="1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67" t="s">
        <v>312</v>
      </c>
      <c r="Q2" s="158"/>
      <c r="R2" s="306" t="s">
        <v>113</v>
      </c>
      <c r="S2" s="307"/>
    </row>
    <row r="3" spans="1:27" s="65" customFormat="1" ht="15" customHeight="1">
      <c r="A3" s="316" t="s">
        <v>140</v>
      </c>
      <c r="B3" s="315" t="s">
        <v>141</v>
      </c>
      <c r="C3" s="311" t="s">
        <v>142</v>
      </c>
      <c r="D3" s="313" t="s">
        <v>309</v>
      </c>
      <c r="E3" s="313" t="s">
        <v>313</v>
      </c>
      <c r="F3" s="311" t="s">
        <v>115</v>
      </c>
      <c r="G3" s="311" t="s">
        <v>143</v>
      </c>
      <c r="H3" s="311" t="s">
        <v>144</v>
      </c>
      <c r="I3" s="311" t="s">
        <v>145</v>
      </c>
      <c r="J3" s="308" t="s">
        <v>119</v>
      </c>
      <c r="K3" s="309"/>
      <c r="L3" s="309"/>
      <c r="M3" s="309"/>
      <c r="N3" s="310"/>
      <c r="O3" s="172"/>
      <c r="P3" s="172"/>
      <c r="Q3" s="317" t="s">
        <v>106</v>
      </c>
      <c r="R3" s="316" t="s">
        <v>120</v>
      </c>
      <c r="S3" s="316"/>
      <c r="T3" s="305" t="s">
        <v>492</v>
      </c>
    </row>
    <row r="4" spans="1:27" s="66" customFormat="1" ht="45" customHeight="1">
      <c r="A4" s="316"/>
      <c r="B4" s="315"/>
      <c r="C4" s="312"/>
      <c r="D4" s="314"/>
      <c r="E4" s="314"/>
      <c r="F4" s="312"/>
      <c r="G4" s="312"/>
      <c r="H4" s="312"/>
      <c r="I4" s="312"/>
      <c r="J4" s="173" t="s">
        <v>121</v>
      </c>
      <c r="K4" s="173" t="s">
        <v>122</v>
      </c>
      <c r="L4" s="173" t="s">
        <v>123</v>
      </c>
      <c r="M4" s="173" t="s">
        <v>146</v>
      </c>
      <c r="N4" s="173" t="s">
        <v>125</v>
      </c>
      <c r="O4" s="174" t="s">
        <v>147</v>
      </c>
      <c r="P4" s="175" t="s">
        <v>148</v>
      </c>
      <c r="Q4" s="317"/>
      <c r="R4" s="176" t="s">
        <v>126</v>
      </c>
      <c r="S4" s="177" t="s">
        <v>127</v>
      </c>
      <c r="T4" s="305"/>
    </row>
    <row r="5" spans="1:27" s="67" customFormat="1" ht="15" customHeight="1">
      <c r="A5" s="164">
        <v>1</v>
      </c>
      <c r="B5" s="171">
        <v>44197</v>
      </c>
      <c r="C5" s="166" t="s">
        <v>314</v>
      </c>
      <c r="D5" s="166">
        <v>80</v>
      </c>
      <c r="E5" s="166"/>
      <c r="F5" s="271">
        <v>860012</v>
      </c>
      <c r="G5" s="166" t="s">
        <v>315</v>
      </c>
      <c r="H5" s="163">
        <v>17821.28</v>
      </c>
      <c r="I5" s="163">
        <v>17821.28</v>
      </c>
      <c r="J5" s="163">
        <v>3752.35</v>
      </c>
      <c r="K5" s="163">
        <v>2867.23</v>
      </c>
      <c r="L5" s="163">
        <v>678.77</v>
      </c>
      <c r="M5" s="163">
        <v>206.35</v>
      </c>
      <c r="N5" s="163"/>
      <c r="O5" s="163">
        <v>436.87</v>
      </c>
      <c r="P5" s="163">
        <v>714.09</v>
      </c>
      <c r="Q5" s="163">
        <v>14068.929999999998</v>
      </c>
      <c r="R5" s="165">
        <v>8.0000000000000002E-3</v>
      </c>
      <c r="S5" s="164" t="s">
        <v>273</v>
      </c>
      <c r="T5" s="164" t="s">
        <v>493</v>
      </c>
    </row>
    <row r="6" spans="1:27" s="67" customFormat="1" ht="30" customHeight="1">
      <c r="A6" s="183"/>
      <c r="B6" s="184"/>
      <c r="C6" s="185" t="s">
        <v>230</v>
      </c>
      <c r="D6" s="185"/>
      <c r="E6" s="185"/>
      <c r="F6" s="183"/>
      <c r="G6" s="185"/>
      <c r="H6" s="186">
        <v>17821.28</v>
      </c>
      <c r="I6" s="186">
        <v>17821.28</v>
      </c>
      <c r="J6" s="186">
        <v>3752.35</v>
      </c>
      <c r="K6" s="186">
        <v>2867.23</v>
      </c>
      <c r="L6" s="186">
        <v>678.77</v>
      </c>
      <c r="M6" s="186">
        <v>206.35</v>
      </c>
      <c r="N6" s="186"/>
      <c r="O6" s="186">
        <v>436.87</v>
      </c>
      <c r="P6" s="186">
        <v>714.09</v>
      </c>
      <c r="Q6" s="186">
        <v>14068.929999999998</v>
      </c>
      <c r="R6" s="187"/>
      <c r="S6" s="183"/>
      <c r="T6" s="164"/>
    </row>
    <row r="7" spans="1:27" s="67" customFormat="1" ht="30" customHeight="1">
      <c r="A7" s="164">
        <v>1</v>
      </c>
      <c r="B7" s="171">
        <v>44228</v>
      </c>
      <c r="C7" s="166" t="s">
        <v>316</v>
      </c>
      <c r="D7" s="166">
        <v>15</v>
      </c>
      <c r="E7" s="166"/>
      <c r="F7" s="164">
        <v>3529002</v>
      </c>
      <c r="G7" s="166" t="s">
        <v>317</v>
      </c>
      <c r="H7" s="163">
        <v>550</v>
      </c>
      <c r="I7" s="163">
        <v>0</v>
      </c>
      <c r="J7" s="163">
        <v>5145.7199999999993</v>
      </c>
      <c r="K7" s="163">
        <v>3789.26</v>
      </c>
      <c r="L7" s="163">
        <v>1040.23</v>
      </c>
      <c r="M7" s="163">
        <v>316.23</v>
      </c>
      <c r="N7" s="163"/>
      <c r="O7" s="163">
        <v>678.23</v>
      </c>
      <c r="P7" s="163">
        <v>23.42</v>
      </c>
      <c r="Q7" s="163">
        <v>-4595.7199999999993</v>
      </c>
      <c r="R7" s="165">
        <v>2.5000000000000001E-2</v>
      </c>
      <c r="S7" s="164" t="s">
        <v>234</v>
      </c>
      <c r="T7" s="164" t="s">
        <v>48</v>
      </c>
    </row>
    <row r="8" spans="1:27" s="67" customFormat="1" ht="15" customHeight="1">
      <c r="A8" s="183"/>
      <c r="B8" s="184"/>
      <c r="C8" s="185" t="s">
        <v>150</v>
      </c>
      <c r="D8" s="185"/>
      <c r="E8" s="185"/>
      <c r="F8" s="183"/>
      <c r="G8" s="185"/>
      <c r="H8" s="186">
        <v>550</v>
      </c>
      <c r="I8" s="186">
        <v>0</v>
      </c>
      <c r="J8" s="186">
        <v>5145.7199999999993</v>
      </c>
      <c r="K8" s="186">
        <v>3789.26</v>
      </c>
      <c r="L8" s="186">
        <v>1040.23</v>
      </c>
      <c r="M8" s="186">
        <v>316.23</v>
      </c>
      <c r="N8" s="186"/>
      <c r="O8" s="186">
        <v>678.23</v>
      </c>
      <c r="P8" s="186">
        <v>23.42</v>
      </c>
      <c r="Q8" s="186">
        <v>-4595.7199999999993</v>
      </c>
      <c r="R8" s="187"/>
      <c r="S8" s="183"/>
      <c r="T8" s="164"/>
    </row>
    <row r="9" spans="1:27" s="67" customFormat="1" ht="15" customHeight="1">
      <c r="A9" s="164">
        <v>1</v>
      </c>
      <c r="B9" s="171">
        <v>44256</v>
      </c>
      <c r="C9" s="166" t="s">
        <v>318</v>
      </c>
      <c r="D9" s="166">
        <v>15</v>
      </c>
      <c r="E9" s="166"/>
      <c r="F9" s="271">
        <v>5650001</v>
      </c>
      <c r="G9" s="166" t="s">
        <v>319</v>
      </c>
      <c r="H9" s="163">
        <v>550</v>
      </c>
      <c r="I9" s="163">
        <v>550</v>
      </c>
      <c r="J9" s="163">
        <v>4668.1200000000008</v>
      </c>
      <c r="K9" s="163">
        <v>3783</v>
      </c>
      <c r="L9" s="163">
        <v>678.77</v>
      </c>
      <c r="M9" s="163">
        <v>206.35</v>
      </c>
      <c r="N9" s="163"/>
      <c r="O9" s="163">
        <v>464.12</v>
      </c>
      <c r="P9" s="163">
        <v>24.03</v>
      </c>
      <c r="Q9" s="163">
        <v>-4118.1200000000008</v>
      </c>
      <c r="R9" s="165">
        <v>0.05</v>
      </c>
      <c r="S9" s="164" t="s">
        <v>273</v>
      </c>
      <c r="T9" s="164" t="s">
        <v>48</v>
      </c>
    </row>
    <row r="10" spans="1:27" s="67" customFormat="1" ht="15" customHeight="1">
      <c r="A10" s="183"/>
      <c r="B10" s="184"/>
      <c r="C10" s="185" t="s">
        <v>151</v>
      </c>
      <c r="D10" s="185"/>
      <c r="E10" s="185"/>
      <c r="F10" s="183"/>
      <c r="G10" s="185"/>
      <c r="H10" s="186">
        <v>550</v>
      </c>
      <c r="I10" s="186">
        <v>550</v>
      </c>
      <c r="J10" s="186">
        <v>4668.1200000000008</v>
      </c>
      <c r="K10" s="186">
        <v>3783</v>
      </c>
      <c r="L10" s="186">
        <v>678.77</v>
      </c>
      <c r="M10" s="186">
        <v>206.35</v>
      </c>
      <c r="N10" s="186"/>
      <c r="O10" s="186">
        <v>464.12</v>
      </c>
      <c r="P10" s="186">
        <v>24.03</v>
      </c>
      <c r="Q10" s="186">
        <v>-4118.1200000000008</v>
      </c>
      <c r="R10" s="187"/>
      <c r="S10" s="183"/>
      <c r="T10" s="164"/>
    </row>
    <row r="11" spans="1:27" s="67" customFormat="1" ht="15" customHeight="1">
      <c r="A11" s="189"/>
      <c r="B11" s="190"/>
      <c r="C11" s="191" t="s">
        <v>320</v>
      </c>
      <c r="D11" s="191"/>
      <c r="E11" s="191"/>
      <c r="F11" s="189"/>
      <c r="G11" s="191"/>
      <c r="H11" s="192">
        <v>18921.28</v>
      </c>
      <c r="I11" s="192">
        <v>18371.28</v>
      </c>
      <c r="J11" s="192">
        <v>13566.19</v>
      </c>
      <c r="K11" s="192">
        <v>10439.49</v>
      </c>
      <c r="L11" s="192">
        <v>2397.77</v>
      </c>
      <c r="M11" s="192">
        <v>728.93000000000006</v>
      </c>
      <c r="N11" s="192"/>
      <c r="O11" s="192">
        <v>1579.2199999999998</v>
      </c>
      <c r="P11" s="192">
        <v>761.54</v>
      </c>
      <c r="Q11" s="192">
        <v>5355.0899999999983</v>
      </c>
      <c r="R11" s="193"/>
      <c r="S11" s="189"/>
      <c r="T11" s="164"/>
    </row>
    <row r="12" spans="1:27" s="67" customFormat="1" ht="15" customHeight="1">
      <c r="A12" s="164">
        <v>1</v>
      </c>
      <c r="B12" s="171">
        <v>44287</v>
      </c>
      <c r="C12" s="166" t="s">
        <v>321</v>
      </c>
      <c r="D12" s="166">
        <v>70</v>
      </c>
      <c r="E12" s="166"/>
      <c r="F12" s="164">
        <v>4282002</v>
      </c>
      <c r="G12" s="166" t="s">
        <v>322</v>
      </c>
      <c r="H12" s="163">
        <v>60362.82</v>
      </c>
      <c r="I12" s="163">
        <v>54326.54</v>
      </c>
      <c r="J12" s="163">
        <v>1974.2399999999998</v>
      </c>
      <c r="K12" s="163">
        <v>1089.1199999999999</v>
      </c>
      <c r="L12" s="163">
        <v>678.77</v>
      </c>
      <c r="M12" s="163">
        <v>206.35</v>
      </c>
      <c r="N12" s="163"/>
      <c r="O12" s="163">
        <v>371.11190508671115</v>
      </c>
      <c r="P12" s="163">
        <v>5248.4439665193722</v>
      </c>
      <c r="Q12" s="163">
        <v>58388.58</v>
      </c>
      <c r="R12" s="165">
        <v>8.0000000000000002E-3</v>
      </c>
      <c r="S12" s="164" t="s">
        <v>273</v>
      </c>
      <c r="T12" s="164" t="s">
        <v>493</v>
      </c>
    </row>
    <row r="13" spans="1:27" s="67" customFormat="1" ht="15" customHeight="1">
      <c r="A13" s="164">
        <v>2</v>
      </c>
      <c r="B13" s="171">
        <v>44287</v>
      </c>
      <c r="C13" s="166" t="s">
        <v>323</v>
      </c>
      <c r="D13" s="166">
        <v>70</v>
      </c>
      <c r="E13" s="166"/>
      <c r="F13" s="164">
        <v>5654002</v>
      </c>
      <c r="G13" s="166" t="s">
        <v>324</v>
      </c>
      <c r="H13" s="163">
        <v>60362.82</v>
      </c>
      <c r="I13" s="163">
        <v>27163.27</v>
      </c>
      <c r="J13" s="163">
        <v>2125.4499999999998</v>
      </c>
      <c r="K13" s="163">
        <v>1240.33</v>
      </c>
      <c r="L13" s="163">
        <v>678.77</v>
      </c>
      <c r="M13" s="163">
        <v>206.35</v>
      </c>
      <c r="N13" s="163"/>
      <c r="O13" s="163">
        <v>371.11190508671115</v>
      </c>
      <c r="P13" s="163">
        <v>5248.4439665193722</v>
      </c>
      <c r="Q13" s="163">
        <v>58237.37</v>
      </c>
      <c r="R13" s="165">
        <v>8.0000000000000002E-3</v>
      </c>
      <c r="S13" s="164" t="s">
        <v>273</v>
      </c>
      <c r="T13" s="164" t="s">
        <v>493</v>
      </c>
    </row>
    <row r="14" spans="1:27" s="67" customFormat="1" ht="15" customHeight="1">
      <c r="A14" s="164">
        <v>3</v>
      </c>
      <c r="B14" s="171">
        <v>44287</v>
      </c>
      <c r="C14" s="166" t="s">
        <v>325</v>
      </c>
      <c r="D14" s="166">
        <v>7</v>
      </c>
      <c r="E14" s="166"/>
      <c r="F14" s="271">
        <v>1994014</v>
      </c>
      <c r="G14" s="166" t="s">
        <v>326</v>
      </c>
      <c r="H14" s="163">
        <v>47103.519999999997</v>
      </c>
      <c r="I14" s="163">
        <v>47103.519999999997</v>
      </c>
      <c r="J14" s="163">
        <v>4065.04</v>
      </c>
      <c r="K14" s="163">
        <v>3179.92</v>
      </c>
      <c r="L14" s="163">
        <v>678.77</v>
      </c>
      <c r="M14" s="163">
        <v>206.35</v>
      </c>
      <c r="N14" s="163"/>
      <c r="O14" s="163">
        <v>371.11190508671115</v>
      </c>
      <c r="P14" s="163">
        <v>4095.5705075711271</v>
      </c>
      <c r="Q14" s="163">
        <v>43038.479999999996</v>
      </c>
      <c r="R14" s="165">
        <v>0.04</v>
      </c>
      <c r="S14" s="164" t="s">
        <v>327</v>
      </c>
      <c r="T14" s="164" t="s">
        <v>493</v>
      </c>
    </row>
    <row r="15" spans="1:27" s="67" customFormat="1" ht="45">
      <c r="A15" s="164">
        <v>4</v>
      </c>
      <c r="B15" s="171">
        <v>44287</v>
      </c>
      <c r="C15" s="166" t="s">
        <v>328</v>
      </c>
      <c r="D15" s="166">
        <v>15</v>
      </c>
      <c r="E15" s="166"/>
      <c r="F15" s="164">
        <v>70002</v>
      </c>
      <c r="G15" s="166" t="s">
        <v>329</v>
      </c>
      <c r="H15" s="163">
        <v>550</v>
      </c>
      <c r="I15" s="163">
        <v>550</v>
      </c>
      <c r="J15" s="163">
        <v>3906.73</v>
      </c>
      <c r="K15" s="163">
        <v>1531.17</v>
      </c>
      <c r="L15" s="163">
        <v>1821.75</v>
      </c>
      <c r="M15" s="163">
        <v>553.80999999999995</v>
      </c>
      <c r="N15" s="163"/>
      <c r="O15" s="163">
        <v>996.00428473986676</v>
      </c>
      <c r="P15" s="163">
        <v>47.821559390128797</v>
      </c>
      <c r="Q15" s="163">
        <v>-3356.73</v>
      </c>
      <c r="R15" s="196"/>
      <c r="S15" s="195"/>
      <c r="T15" s="164"/>
      <c r="U15" s="236" t="s">
        <v>562</v>
      </c>
      <c r="V15" s="236"/>
      <c r="W15" s="236"/>
      <c r="X15" s="236"/>
      <c r="Y15" s="236"/>
      <c r="Z15" s="236"/>
      <c r="AA15" s="236"/>
    </row>
    <row r="16" spans="1:27" s="67" customFormat="1">
      <c r="A16" s="183"/>
      <c r="B16" s="184"/>
      <c r="C16" s="185" t="s">
        <v>152</v>
      </c>
      <c r="D16" s="185"/>
      <c r="E16" s="185"/>
      <c r="F16" s="183"/>
      <c r="G16" s="185"/>
      <c r="H16" s="186">
        <v>168379.16</v>
      </c>
      <c r="I16" s="186">
        <v>129143.32999999999</v>
      </c>
      <c r="J16" s="186">
        <v>12071.460000000001</v>
      </c>
      <c r="K16" s="186">
        <v>7040.54</v>
      </c>
      <c r="L16" s="186">
        <v>3858.06</v>
      </c>
      <c r="M16" s="186">
        <v>1172.8599999999999</v>
      </c>
      <c r="N16" s="186"/>
      <c r="O16" s="186">
        <v>2109.34</v>
      </c>
      <c r="P16" s="186">
        <v>14640.28</v>
      </c>
      <c r="Q16" s="186">
        <v>156307.70000000001</v>
      </c>
      <c r="R16" s="187"/>
      <c r="S16" s="183"/>
      <c r="T16" s="164"/>
      <c r="U16" s="236"/>
      <c r="V16" s="236"/>
      <c r="W16" s="236"/>
      <c r="X16" s="236"/>
      <c r="Y16" s="236"/>
      <c r="Z16" s="236"/>
      <c r="AA16" s="236"/>
    </row>
    <row r="17" spans="1:27" s="67" customFormat="1" ht="30">
      <c r="A17" s="164">
        <v>1</v>
      </c>
      <c r="B17" s="171">
        <v>44348</v>
      </c>
      <c r="C17" s="166" t="s">
        <v>330</v>
      </c>
      <c r="D17" s="166">
        <v>10</v>
      </c>
      <c r="E17" s="166"/>
      <c r="F17" s="271">
        <v>5781002</v>
      </c>
      <c r="G17" s="166" t="s">
        <v>331</v>
      </c>
      <c r="H17" s="163">
        <v>38420.99</v>
      </c>
      <c r="I17" s="163">
        <v>38420.99</v>
      </c>
      <c r="J17" s="163">
        <v>1297.6199999999999</v>
      </c>
      <c r="K17" s="163">
        <v>412.5</v>
      </c>
      <c r="L17" s="163">
        <v>678.77</v>
      </c>
      <c r="M17" s="163">
        <v>206.35</v>
      </c>
      <c r="N17" s="163"/>
      <c r="O17" s="163">
        <v>447.74000000000007</v>
      </c>
      <c r="P17" s="163">
        <v>1968.268122175077</v>
      </c>
      <c r="Q17" s="163">
        <v>37123.369999999995</v>
      </c>
      <c r="R17" s="196"/>
      <c r="S17" s="195"/>
      <c r="T17" s="164"/>
      <c r="U17" s="236" t="s">
        <v>563</v>
      </c>
      <c r="V17" s="236"/>
      <c r="W17" s="236"/>
      <c r="X17" s="236"/>
      <c r="Y17" s="236"/>
      <c r="Z17" s="236"/>
      <c r="AA17" s="236"/>
    </row>
    <row r="18" spans="1:27" s="67" customFormat="1" ht="45">
      <c r="A18" s="164">
        <v>2</v>
      </c>
      <c r="B18" s="171">
        <v>44348</v>
      </c>
      <c r="C18" s="166" t="s">
        <v>272</v>
      </c>
      <c r="D18" s="166">
        <v>15</v>
      </c>
      <c r="E18" s="166"/>
      <c r="F18" s="271">
        <v>5435002</v>
      </c>
      <c r="G18" s="166" t="s">
        <v>332</v>
      </c>
      <c r="H18" s="163">
        <v>550</v>
      </c>
      <c r="I18" s="163">
        <v>550</v>
      </c>
      <c r="J18" s="163">
        <v>1297.6199999999999</v>
      </c>
      <c r="K18" s="163">
        <v>412.5</v>
      </c>
      <c r="L18" s="163">
        <v>678.77</v>
      </c>
      <c r="M18" s="163">
        <v>206.35</v>
      </c>
      <c r="N18" s="163"/>
      <c r="O18" s="163">
        <v>447.74000000000007</v>
      </c>
      <c r="P18" s="163">
        <v>28.175938912461454</v>
      </c>
      <c r="Q18" s="163">
        <v>-747.61999999999989</v>
      </c>
      <c r="R18" s="196"/>
      <c r="S18" s="195"/>
      <c r="T18" s="164"/>
      <c r="U18" s="236" t="s">
        <v>563</v>
      </c>
      <c r="V18" s="236"/>
      <c r="W18" s="236"/>
      <c r="X18" s="236"/>
      <c r="Y18" s="236"/>
      <c r="Z18" s="236"/>
      <c r="AA18" s="236"/>
    </row>
    <row r="19" spans="1:27" s="67" customFormat="1" ht="30">
      <c r="A19" s="164">
        <v>3</v>
      </c>
      <c r="B19" s="171">
        <v>44348</v>
      </c>
      <c r="C19" s="166" t="s">
        <v>333</v>
      </c>
      <c r="D19" s="166">
        <v>15</v>
      </c>
      <c r="E19" s="166"/>
      <c r="F19" s="164">
        <v>5822001</v>
      </c>
      <c r="G19" s="166" t="s">
        <v>334</v>
      </c>
      <c r="H19" s="163">
        <v>550</v>
      </c>
      <c r="I19" s="163">
        <v>550</v>
      </c>
      <c r="J19" s="163">
        <v>1297.6199999999999</v>
      </c>
      <c r="K19" s="163">
        <v>412.5</v>
      </c>
      <c r="L19" s="163">
        <v>678.77</v>
      </c>
      <c r="M19" s="163">
        <v>206.35</v>
      </c>
      <c r="N19" s="163"/>
      <c r="O19" s="163">
        <v>447.74000000000007</v>
      </c>
      <c r="P19" s="163">
        <v>28.175938912461454</v>
      </c>
      <c r="Q19" s="163">
        <v>-747.61999999999989</v>
      </c>
      <c r="R19" s="196"/>
      <c r="S19" s="195"/>
      <c r="T19" s="164"/>
      <c r="U19" s="236" t="s">
        <v>563</v>
      </c>
      <c r="V19" s="236"/>
      <c r="W19" s="236"/>
      <c r="X19" s="236"/>
      <c r="Y19" s="236"/>
      <c r="Z19" s="236"/>
      <c r="AA19" s="236"/>
    </row>
    <row r="20" spans="1:27" s="67" customFormat="1">
      <c r="A20" s="183"/>
      <c r="B20" s="184"/>
      <c r="C20" s="185" t="s">
        <v>153</v>
      </c>
      <c r="D20" s="185"/>
      <c r="E20" s="185"/>
      <c r="F20" s="183"/>
      <c r="G20" s="185"/>
      <c r="H20" s="186">
        <v>39520.99</v>
      </c>
      <c r="I20" s="186">
        <v>39520.99</v>
      </c>
      <c r="J20" s="186">
        <v>3892.8599999999997</v>
      </c>
      <c r="K20" s="186">
        <v>1237.5</v>
      </c>
      <c r="L20" s="186">
        <v>2036.31</v>
      </c>
      <c r="M20" s="186">
        <v>619.04999999999995</v>
      </c>
      <c r="N20" s="186"/>
      <c r="O20" s="186">
        <v>1343.22</v>
      </c>
      <c r="P20" s="186">
        <v>2024.62</v>
      </c>
      <c r="Q20" s="186">
        <v>35628.129999999997</v>
      </c>
      <c r="R20" s="188"/>
      <c r="S20" s="194"/>
      <c r="T20" s="164"/>
      <c r="U20" s="236"/>
      <c r="V20" s="236"/>
      <c r="W20" s="236"/>
      <c r="X20" s="236"/>
      <c r="Y20" s="236"/>
      <c r="Z20" s="236"/>
      <c r="AA20" s="236"/>
    </row>
    <row r="21" spans="1:27" s="67" customFormat="1">
      <c r="A21" s="189"/>
      <c r="B21" s="190"/>
      <c r="C21" s="191" t="s">
        <v>232</v>
      </c>
      <c r="D21" s="191"/>
      <c r="E21" s="191"/>
      <c r="F21" s="189"/>
      <c r="G21" s="191"/>
      <c r="H21" s="192">
        <v>226821.43</v>
      </c>
      <c r="I21" s="192">
        <v>187035.59999999998</v>
      </c>
      <c r="J21" s="192">
        <v>29530.51</v>
      </c>
      <c r="K21" s="192">
        <v>18717.53</v>
      </c>
      <c r="L21" s="192">
        <v>8292.14</v>
      </c>
      <c r="M21" s="192">
        <v>2520.84</v>
      </c>
      <c r="N21" s="192"/>
      <c r="O21" s="192">
        <v>1579.2199999999998</v>
      </c>
      <c r="P21" s="192">
        <v>17426.439999999999</v>
      </c>
      <c r="Q21" s="192">
        <v>197290.91999999998</v>
      </c>
      <c r="R21" s="193"/>
      <c r="S21" s="189"/>
      <c r="T21" s="164"/>
      <c r="U21" s="236"/>
      <c r="V21" s="236"/>
      <c r="W21" s="236"/>
      <c r="X21" s="236"/>
      <c r="Y21" s="236"/>
      <c r="Z21" s="236"/>
      <c r="AA21" s="236"/>
    </row>
    <row r="22" spans="1:27" s="125" customFormat="1" ht="30">
      <c r="A22" s="164">
        <v>1</v>
      </c>
      <c r="B22" s="171">
        <v>44409</v>
      </c>
      <c r="C22" s="166" t="s">
        <v>335</v>
      </c>
      <c r="D22" s="166">
        <v>145</v>
      </c>
      <c r="E22" s="166"/>
      <c r="F22" s="271">
        <v>5673001</v>
      </c>
      <c r="G22" s="166" t="s">
        <v>336</v>
      </c>
      <c r="H22" s="163">
        <v>60362.82</v>
      </c>
      <c r="I22" s="163">
        <v>60362.82</v>
      </c>
      <c r="J22" s="163">
        <v>1923.9055602522199</v>
      </c>
      <c r="K22" s="163">
        <v>986.98</v>
      </c>
      <c r="L22" s="163">
        <v>678.77</v>
      </c>
      <c r="M22" s="163">
        <v>206.35</v>
      </c>
      <c r="N22" s="163">
        <v>51.805560252219841</v>
      </c>
      <c r="O22" s="163">
        <v>489.3549843574155</v>
      </c>
      <c r="P22" s="163">
        <v>4557.5103836067865</v>
      </c>
      <c r="Q22" s="163">
        <v>58438.914439747779</v>
      </c>
      <c r="R22" s="196"/>
      <c r="S22" s="195"/>
      <c r="T22" s="164"/>
      <c r="U22" s="326" t="s">
        <v>564</v>
      </c>
      <c r="V22" s="327"/>
      <c r="W22" s="327"/>
      <c r="X22" s="327"/>
      <c r="Y22" s="327"/>
      <c r="Z22" s="327"/>
      <c r="AA22" s="327"/>
    </row>
    <row r="23" spans="1:27" s="67" customFormat="1" ht="30">
      <c r="A23" s="164">
        <v>2</v>
      </c>
      <c r="B23" s="171">
        <v>44409</v>
      </c>
      <c r="C23" s="166" t="s">
        <v>149</v>
      </c>
      <c r="D23" s="166">
        <v>1</v>
      </c>
      <c r="E23" s="166"/>
      <c r="F23" s="271">
        <v>846146</v>
      </c>
      <c r="G23" s="166" t="s">
        <v>337</v>
      </c>
      <c r="H23" s="163">
        <v>28603.4</v>
      </c>
      <c r="I23" s="163">
        <v>28603.4</v>
      </c>
      <c r="J23" s="163">
        <v>4587.7186099369446</v>
      </c>
      <c r="K23" s="163">
        <v>2713.87</v>
      </c>
      <c r="L23" s="163">
        <v>1357.55</v>
      </c>
      <c r="M23" s="163">
        <v>412.69</v>
      </c>
      <c r="N23" s="163">
        <v>103.60860993694503</v>
      </c>
      <c r="O23" s="163">
        <v>978.68625391064609</v>
      </c>
      <c r="P23" s="163">
        <v>9114.7999040983032</v>
      </c>
      <c r="Q23" s="163">
        <v>24015.681390063059</v>
      </c>
      <c r="R23" s="196"/>
      <c r="S23" s="195"/>
      <c r="T23" s="164"/>
      <c r="U23" s="236" t="s">
        <v>563</v>
      </c>
      <c r="V23" s="236"/>
      <c r="W23" s="236"/>
      <c r="X23" s="236"/>
      <c r="Y23" s="236"/>
      <c r="Z23" s="236"/>
      <c r="AA23" s="236"/>
    </row>
    <row r="24" spans="1:27" s="67" customFormat="1" ht="30">
      <c r="A24" s="164">
        <v>3</v>
      </c>
      <c r="B24" s="171">
        <v>44409</v>
      </c>
      <c r="C24" s="166" t="s">
        <v>338</v>
      </c>
      <c r="D24" s="166">
        <v>50</v>
      </c>
      <c r="E24" s="166"/>
      <c r="F24" s="271">
        <v>5560001</v>
      </c>
      <c r="G24" s="166" t="s">
        <v>339</v>
      </c>
      <c r="H24" s="163">
        <v>17821.28</v>
      </c>
      <c r="I24" s="163">
        <v>17821.28</v>
      </c>
      <c r="J24" s="163">
        <v>2286.3486099369447</v>
      </c>
      <c r="K24" s="163">
        <v>412.5</v>
      </c>
      <c r="L24" s="163">
        <v>1357.55</v>
      </c>
      <c r="M24" s="163">
        <v>412.69</v>
      </c>
      <c r="N24" s="163">
        <v>103.60860993694503</v>
      </c>
      <c r="O24" s="163">
        <v>978.68625391064609</v>
      </c>
      <c r="P24" s="163">
        <v>9114.7999040983032</v>
      </c>
      <c r="Q24" s="163">
        <v>15534.931390063055</v>
      </c>
      <c r="R24" s="196"/>
      <c r="S24" s="195"/>
      <c r="T24" s="164"/>
      <c r="U24" s="326" t="s">
        <v>565</v>
      </c>
      <c r="V24" s="327"/>
      <c r="W24" s="327"/>
      <c r="X24" s="327"/>
      <c r="Y24" s="327"/>
      <c r="Z24" s="327"/>
      <c r="AA24" s="327"/>
    </row>
    <row r="25" spans="1:27" s="67" customFormat="1" ht="30">
      <c r="A25" s="164">
        <v>4</v>
      </c>
      <c r="B25" s="171">
        <v>44409</v>
      </c>
      <c r="C25" s="166" t="s">
        <v>340</v>
      </c>
      <c r="D25" s="166">
        <v>15</v>
      </c>
      <c r="E25" s="166"/>
      <c r="F25" s="271">
        <v>5418001</v>
      </c>
      <c r="G25" s="166" t="s">
        <v>341</v>
      </c>
      <c r="H25" s="163">
        <v>550</v>
      </c>
      <c r="I25" s="163">
        <v>550</v>
      </c>
      <c r="J25" s="163">
        <v>2286.3486099369447</v>
      </c>
      <c r="K25" s="163">
        <v>412.5</v>
      </c>
      <c r="L25" s="163">
        <v>1357.55</v>
      </c>
      <c r="M25" s="163">
        <v>412.69</v>
      </c>
      <c r="N25" s="163">
        <v>103.60860993694503</v>
      </c>
      <c r="O25" s="163">
        <v>978.68625391064609</v>
      </c>
      <c r="P25" s="163">
        <v>9114.7999040983032</v>
      </c>
      <c r="Q25" s="163">
        <v>-1736.3486099369447</v>
      </c>
      <c r="R25" s="196"/>
      <c r="S25" s="195"/>
      <c r="T25" s="164"/>
      <c r="U25" s="236" t="s">
        <v>563</v>
      </c>
      <c r="V25" s="236"/>
      <c r="W25" s="236"/>
      <c r="X25" s="236"/>
      <c r="Y25" s="236"/>
      <c r="Z25" s="236"/>
      <c r="AA25" s="236"/>
    </row>
    <row r="26" spans="1:27" s="67" customFormat="1" ht="45">
      <c r="A26" s="164">
        <v>5</v>
      </c>
      <c r="B26" s="171">
        <v>44409</v>
      </c>
      <c r="C26" s="166" t="s">
        <v>342</v>
      </c>
      <c r="D26" s="166">
        <v>15</v>
      </c>
      <c r="E26" s="166"/>
      <c r="F26" s="271">
        <v>4421002</v>
      </c>
      <c r="G26" s="166" t="s">
        <v>343</v>
      </c>
      <c r="H26" s="163">
        <v>550</v>
      </c>
      <c r="I26" s="163">
        <v>550</v>
      </c>
      <c r="J26" s="163">
        <v>2286.3486099369447</v>
      </c>
      <c r="K26" s="163">
        <v>412.5</v>
      </c>
      <c r="L26" s="163">
        <v>1357.55</v>
      </c>
      <c r="M26" s="163">
        <v>412.69</v>
      </c>
      <c r="N26" s="163">
        <v>103.60860993694503</v>
      </c>
      <c r="O26" s="163">
        <v>978.68625391064609</v>
      </c>
      <c r="P26" s="163">
        <v>9114.7999040983032</v>
      </c>
      <c r="Q26" s="163">
        <v>-1736.3486099369447</v>
      </c>
      <c r="R26" s="196"/>
      <c r="S26" s="195"/>
      <c r="T26" s="164"/>
      <c r="U26" s="326" t="s">
        <v>566</v>
      </c>
      <c r="V26" s="327"/>
      <c r="W26" s="327"/>
      <c r="X26" s="327"/>
      <c r="Y26" s="327"/>
      <c r="Z26" s="327"/>
      <c r="AA26" s="327"/>
    </row>
    <row r="27" spans="1:27" s="67" customFormat="1">
      <c r="A27" s="183"/>
      <c r="B27" s="184"/>
      <c r="C27" s="185" t="s">
        <v>233</v>
      </c>
      <c r="D27" s="185"/>
      <c r="E27" s="185"/>
      <c r="F27" s="183"/>
      <c r="G27" s="185"/>
      <c r="H27" s="186">
        <v>107887.5</v>
      </c>
      <c r="I27" s="186">
        <v>107887.5</v>
      </c>
      <c r="J27" s="186">
        <v>13370.67</v>
      </c>
      <c r="K27" s="186">
        <v>4938.3500000000004</v>
      </c>
      <c r="L27" s="186">
        <v>6108.97</v>
      </c>
      <c r="M27" s="186">
        <v>1857.1100000000001</v>
      </c>
      <c r="N27" s="186">
        <v>466.24</v>
      </c>
      <c r="O27" s="186">
        <v>4404.1000000000004</v>
      </c>
      <c r="P27" s="186">
        <v>41016.71</v>
      </c>
      <c r="Q27" s="186">
        <v>94516.83</v>
      </c>
      <c r="R27" s="187"/>
      <c r="S27" s="183"/>
      <c r="T27" s="164"/>
      <c r="U27" s="236"/>
      <c r="V27" s="236"/>
      <c r="W27" s="236"/>
      <c r="X27" s="236"/>
      <c r="Y27" s="236"/>
      <c r="Z27" s="236"/>
      <c r="AA27" s="236"/>
    </row>
    <row r="28" spans="1:27" s="67" customFormat="1">
      <c r="A28" s="189"/>
      <c r="B28" s="190"/>
      <c r="C28" s="191" t="s">
        <v>344</v>
      </c>
      <c r="D28" s="191"/>
      <c r="E28" s="191"/>
      <c r="F28" s="189"/>
      <c r="G28" s="191"/>
      <c r="H28" s="192">
        <v>334708.93</v>
      </c>
      <c r="I28" s="192">
        <v>294923.09999999998</v>
      </c>
      <c r="J28" s="192">
        <v>42901.18</v>
      </c>
      <c r="K28" s="192">
        <v>23655.879999999997</v>
      </c>
      <c r="L28" s="192">
        <v>14401.11</v>
      </c>
      <c r="M28" s="192">
        <v>4377.9500000000007</v>
      </c>
      <c r="N28" s="192">
        <v>466.24</v>
      </c>
      <c r="O28" s="192">
        <v>5983.32</v>
      </c>
      <c r="P28" s="192">
        <v>58443.149999999994</v>
      </c>
      <c r="Q28" s="192">
        <v>291807.75</v>
      </c>
      <c r="R28" s="193"/>
      <c r="S28" s="189"/>
      <c r="T28" s="164"/>
      <c r="U28" s="236"/>
      <c r="V28" s="236"/>
      <c r="W28" s="236"/>
      <c r="X28" s="236"/>
      <c r="Y28" s="236"/>
      <c r="Z28" s="236"/>
      <c r="AA28" s="236"/>
    </row>
    <row r="29" spans="1:27" s="67" customFormat="1" ht="30">
      <c r="A29" s="164">
        <v>1</v>
      </c>
      <c r="B29" s="171">
        <v>44501</v>
      </c>
      <c r="C29" s="166" t="s">
        <v>345</v>
      </c>
      <c r="D29" s="166">
        <v>15</v>
      </c>
      <c r="E29" s="166"/>
      <c r="F29" s="271">
        <v>5929001</v>
      </c>
      <c r="G29" s="166" t="s">
        <v>346</v>
      </c>
      <c r="H29" s="163">
        <v>550</v>
      </c>
      <c r="I29" s="163">
        <v>550</v>
      </c>
      <c r="J29" s="163">
        <v>5654.6899999999987</v>
      </c>
      <c r="K29" s="163">
        <v>4298.2299999999996</v>
      </c>
      <c r="L29" s="163">
        <v>1040.23</v>
      </c>
      <c r="M29" s="163">
        <v>316.23</v>
      </c>
      <c r="N29" s="163">
        <f>M29/$M$31*$N$31</f>
        <v>87.62919801752841</v>
      </c>
      <c r="O29" s="163">
        <f>N29/$N$31*$O$31</f>
        <v>716.30712158903896</v>
      </c>
      <c r="P29" s="163"/>
      <c r="Q29" s="163">
        <f t="shared" ref="Q29:Q35" si="0">H29-J29</f>
        <v>-5104.6899999999987</v>
      </c>
      <c r="R29" s="165">
        <v>4.4999999999999998E-2</v>
      </c>
      <c r="S29" s="164" t="s">
        <v>327</v>
      </c>
      <c r="T29" s="164" t="s">
        <v>48</v>
      </c>
      <c r="U29" s="236"/>
      <c r="V29" s="236"/>
      <c r="W29" s="236"/>
      <c r="X29" s="236"/>
      <c r="Y29" s="236"/>
      <c r="Z29" s="236"/>
      <c r="AA29" s="236"/>
    </row>
    <row r="30" spans="1:27" s="67" customFormat="1">
      <c r="A30" s="164">
        <v>2</v>
      </c>
      <c r="B30" s="171">
        <v>44501</v>
      </c>
      <c r="C30" s="166" t="s">
        <v>347</v>
      </c>
      <c r="D30" s="166">
        <v>15</v>
      </c>
      <c r="E30" s="166"/>
      <c r="F30" s="271">
        <v>5785001</v>
      </c>
      <c r="G30" s="166" t="s">
        <v>348</v>
      </c>
      <c r="H30" s="163">
        <v>550</v>
      </c>
      <c r="I30" s="163">
        <v>550</v>
      </c>
      <c r="J30" s="163">
        <v>1400.1299999999999</v>
      </c>
      <c r="K30" s="163">
        <v>515.01</v>
      </c>
      <c r="L30" s="163">
        <v>678.77</v>
      </c>
      <c r="M30" s="163">
        <v>206.35</v>
      </c>
      <c r="N30" s="163">
        <f>M30/$M$31*$N$31</f>
        <v>57.180801982471579</v>
      </c>
      <c r="O30" s="163">
        <f>N30/$N$31*$O$31</f>
        <v>467.41287841096096</v>
      </c>
      <c r="P30" s="163"/>
      <c r="Q30" s="163">
        <f t="shared" si="0"/>
        <v>-850.12999999999988</v>
      </c>
      <c r="R30" s="196"/>
      <c r="S30" s="195"/>
      <c r="T30" s="164"/>
      <c r="U30" s="326" t="s">
        <v>567</v>
      </c>
      <c r="V30" s="327"/>
      <c r="W30" s="327"/>
      <c r="X30" s="327"/>
      <c r="Y30" s="327"/>
      <c r="Z30" s="327"/>
      <c r="AA30" s="327"/>
    </row>
    <row r="31" spans="1:27" s="67" customFormat="1">
      <c r="A31" s="183"/>
      <c r="B31" s="184"/>
      <c r="C31" s="185" t="s">
        <v>261</v>
      </c>
      <c r="D31" s="185"/>
      <c r="E31" s="185"/>
      <c r="F31" s="183"/>
      <c r="G31" s="185"/>
      <c r="H31" s="186">
        <v>1100</v>
      </c>
      <c r="I31" s="186">
        <v>1100</v>
      </c>
      <c r="J31" s="186">
        <v>7054.82</v>
      </c>
      <c r="K31" s="186">
        <v>4813.24</v>
      </c>
      <c r="L31" s="186">
        <v>1719</v>
      </c>
      <c r="M31" s="186">
        <v>522.58000000000004</v>
      </c>
      <c r="N31" s="186">
        <v>144.81</v>
      </c>
      <c r="O31" s="186">
        <f>1328.53-144.81</f>
        <v>1183.72</v>
      </c>
      <c r="P31" s="186"/>
      <c r="Q31" s="186">
        <f t="shared" si="0"/>
        <v>-5954.82</v>
      </c>
      <c r="R31" s="187"/>
      <c r="S31" s="183"/>
      <c r="T31" s="164"/>
      <c r="U31" s="236"/>
      <c r="V31" s="236"/>
      <c r="W31" s="236"/>
      <c r="X31" s="236"/>
      <c r="Y31" s="236"/>
      <c r="Z31" s="236"/>
      <c r="AA31" s="236"/>
    </row>
    <row r="32" spans="1:27" s="67" customFormat="1" ht="30">
      <c r="A32" s="164">
        <v>1</v>
      </c>
      <c r="B32" s="171">
        <v>44531</v>
      </c>
      <c r="C32" s="166" t="s">
        <v>349</v>
      </c>
      <c r="D32" s="166">
        <v>15</v>
      </c>
      <c r="E32" s="166"/>
      <c r="F32" s="271">
        <v>5844001</v>
      </c>
      <c r="G32" s="166" t="s">
        <v>350</v>
      </c>
      <c r="H32" s="163">
        <v>550</v>
      </c>
      <c r="I32" s="163">
        <v>550</v>
      </c>
      <c r="J32" s="163">
        <v>1720.29</v>
      </c>
      <c r="K32" s="163">
        <v>363.83</v>
      </c>
      <c r="L32" s="163">
        <v>1040.23</v>
      </c>
      <c r="M32" s="163">
        <v>316.23</v>
      </c>
      <c r="N32" s="163">
        <f>M32/$M$34*$N$34</f>
        <v>42.555</v>
      </c>
      <c r="O32" s="163">
        <f>N32/$N$34*$O$34</f>
        <v>621.35500000000002</v>
      </c>
      <c r="P32" s="163"/>
      <c r="Q32" s="163">
        <f t="shared" si="0"/>
        <v>-1170.29</v>
      </c>
      <c r="R32" s="196"/>
      <c r="S32" s="195"/>
      <c r="T32" s="164"/>
      <c r="U32" s="236" t="s">
        <v>563</v>
      </c>
      <c r="V32" s="236"/>
      <c r="W32" s="236"/>
      <c r="X32" s="236"/>
      <c r="Y32" s="236"/>
      <c r="Z32" s="236"/>
      <c r="AA32" s="236"/>
    </row>
    <row r="33" spans="1:27" s="67" customFormat="1" ht="30">
      <c r="A33" s="164">
        <v>2</v>
      </c>
      <c r="B33" s="171">
        <v>44531</v>
      </c>
      <c r="C33" s="166" t="s">
        <v>228</v>
      </c>
      <c r="D33" s="166">
        <v>80</v>
      </c>
      <c r="E33" s="166"/>
      <c r="F33" s="271">
        <v>2851005</v>
      </c>
      <c r="G33" s="166" t="s">
        <v>229</v>
      </c>
      <c r="H33" s="163">
        <v>17294.900000000001</v>
      </c>
      <c r="I33" s="163">
        <v>17294.900000000001</v>
      </c>
      <c r="J33" s="163">
        <v>1720.29</v>
      </c>
      <c r="K33" s="163">
        <v>363.83</v>
      </c>
      <c r="L33" s="163">
        <v>1040.23</v>
      </c>
      <c r="M33" s="163">
        <v>316.23</v>
      </c>
      <c r="N33" s="163">
        <f>M33/$M$34*$N$34</f>
        <v>42.555</v>
      </c>
      <c r="O33" s="163">
        <f>N33/$N$34*$O$34</f>
        <v>621.35500000000002</v>
      </c>
      <c r="P33" s="163"/>
      <c r="Q33" s="163">
        <f t="shared" si="0"/>
        <v>15574.61</v>
      </c>
      <c r="R33" s="196"/>
      <c r="S33" s="195"/>
      <c r="T33" s="164"/>
      <c r="U33" s="326" t="s">
        <v>568</v>
      </c>
      <c r="V33" s="327"/>
      <c r="W33" s="327"/>
      <c r="X33" s="327"/>
      <c r="Y33" s="327"/>
      <c r="Z33" s="327"/>
      <c r="AA33" s="327"/>
    </row>
    <row r="34" spans="1:27" s="67" customFormat="1">
      <c r="A34" s="183"/>
      <c r="B34" s="184"/>
      <c r="C34" s="185" t="s">
        <v>268</v>
      </c>
      <c r="D34" s="185"/>
      <c r="E34" s="185"/>
      <c r="F34" s="183"/>
      <c r="G34" s="185"/>
      <c r="H34" s="186">
        <v>17844.900000000001</v>
      </c>
      <c r="I34" s="186">
        <v>17844.900000000001</v>
      </c>
      <c r="J34" s="186">
        <v>3440.58</v>
      </c>
      <c r="K34" s="186">
        <v>727.66</v>
      </c>
      <c r="L34" s="186">
        <v>2080.46</v>
      </c>
      <c r="M34" s="186">
        <v>632.46</v>
      </c>
      <c r="N34" s="186">
        <v>85.11</v>
      </c>
      <c r="O34" s="186">
        <f>1327.82-85.11</f>
        <v>1242.71</v>
      </c>
      <c r="P34" s="186"/>
      <c r="Q34" s="186">
        <f t="shared" si="0"/>
        <v>14404.320000000002</v>
      </c>
      <c r="R34" s="187"/>
      <c r="S34" s="183"/>
      <c r="T34" s="164"/>
    </row>
    <row r="35" spans="1:27" s="67" customFormat="1">
      <c r="A35" s="189"/>
      <c r="B35" s="190"/>
      <c r="C35" s="191" t="s">
        <v>351</v>
      </c>
      <c r="D35" s="191"/>
      <c r="E35" s="191"/>
      <c r="F35" s="189"/>
      <c r="G35" s="191"/>
      <c r="H35" s="192">
        <v>353653.83</v>
      </c>
      <c r="I35" s="192">
        <v>313868</v>
      </c>
      <c r="J35" s="192">
        <v>52930.339999999989</v>
      </c>
      <c r="K35" s="192">
        <v>29196.779999999995</v>
      </c>
      <c r="L35" s="192">
        <v>18200.57</v>
      </c>
      <c r="M35" s="192">
        <v>5532.9900000000007</v>
      </c>
      <c r="N35" s="192"/>
      <c r="O35" s="192"/>
      <c r="P35" s="192"/>
      <c r="Q35" s="192">
        <f t="shared" si="0"/>
        <v>300723.49000000005</v>
      </c>
      <c r="R35" s="193"/>
      <c r="S35" s="189"/>
      <c r="T35" s="164"/>
    </row>
    <row r="36" spans="1:27" s="67" customFormat="1">
      <c r="A36" s="178"/>
      <c r="B36" s="178"/>
      <c r="C36" s="178"/>
      <c r="D36" s="178"/>
      <c r="E36" s="178"/>
      <c r="F36" s="178"/>
      <c r="G36" s="179"/>
      <c r="H36" s="180"/>
      <c r="I36" s="180"/>
      <c r="J36" s="181"/>
      <c r="K36" s="180"/>
      <c r="L36" s="180"/>
      <c r="M36" s="180"/>
      <c r="N36" s="180"/>
      <c r="O36" s="178"/>
      <c r="P36" s="178"/>
      <c r="Q36" s="181"/>
      <c r="R36" s="182"/>
      <c r="S36" s="178"/>
    </row>
    <row r="37" spans="1:27" s="67" customFormat="1">
      <c r="A37" s="178"/>
      <c r="B37" s="178"/>
      <c r="C37" s="178"/>
      <c r="D37" s="178"/>
      <c r="E37" s="178"/>
      <c r="F37" s="178"/>
      <c r="G37" s="179"/>
      <c r="H37" s="180"/>
      <c r="I37" s="180"/>
      <c r="J37" s="181"/>
      <c r="K37" s="180"/>
      <c r="L37" s="180"/>
      <c r="M37" s="180"/>
      <c r="N37" s="180"/>
      <c r="O37" s="178"/>
      <c r="P37" s="178"/>
      <c r="Q37" s="181"/>
      <c r="R37" s="182"/>
      <c r="S37" s="178"/>
    </row>
    <row r="38" spans="1:27" s="67" customFormat="1">
      <c r="A38" s="178"/>
      <c r="B38" s="178"/>
      <c r="C38" s="178"/>
      <c r="D38" s="178"/>
      <c r="E38" s="178"/>
      <c r="F38" s="178"/>
      <c r="G38" s="178"/>
      <c r="H38" s="178"/>
      <c r="I38" s="178"/>
      <c r="J38" s="181"/>
      <c r="K38" s="180"/>
      <c r="L38" s="180"/>
      <c r="M38" s="180"/>
      <c r="N38" s="180"/>
      <c r="O38" s="178"/>
      <c r="P38" s="178"/>
      <c r="Q38" s="181"/>
      <c r="R38" s="182"/>
      <c r="S38" s="178"/>
    </row>
    <row r="39" spans="1:27" s="67" customFormat="1">
      <c r="A39" s="178"/>
      <c r="B39" s="178"/>
      <c r="C39" s="178"/>
      <c r="D39" s="178"/>
      <c r="E39" s="178"/>
      <c r="F39" s="178"/>
      <c r="G39" s="178" t="s">
        <v>287</v>
      </c>
      <c r="H39" s="178"/>
      <c r="I39" s="178"/>
      <c r="K39" s="181" t="s">
        <v>288</v>
      </c>
      <c r="L39" s="180" t="s">
        <v>292</v>
      </c>
      <c r="M39" s="180" t="s">
        <v>293</v>
      </c>
      <c r="N39" s="180" t="s">
        <v>294</v>
      </c>
      <c r="O39" s="178" t="s">
        <v>973</v>
      </c>
      <c r="P39" s="178"/>
      <c r="Q39" s="181"/>
      <c r="R39" s="182"/>
      <c r="S39" s="178"/>
    </row>
    <row r="40" spans="1:27" s="67" customFormat="1" ht="15" customHeight="1">
      <c r="A40" s="178"/>
      <c r="B40" s="178"/>
      <c r="C40" s="178"/>
      <c r="D40" s="178"/>
      <c r="E40" s="178"/>
      <c r="F40" s="178"/>
      <c r="G40" s="178" t="s">
        <v>281</v>
      </c>
      <c r="H40" s="182"/>
      <c r="I40" s="181"/>
      <c r="J40" s="198"/>
      <c r="K40" s="181" t="s">
        <v>48</v>
      </c>
      <c r="L40" s="180">
        <f>R29+R9+R7</f>
        <v>0.12</v>
      </c>
      <c r="M40" s="180">
        <f>J29+J9+J7</f>
        <v>15468.529999999999</v>
      </c>
      <c r="N40" s="180">
        <f>Q7+Q9+Q29</f>
        <v>-13818.529999999999</v>
      </c>
      <c r="O40" s="178">
        <f>D7+D9+D29</f>
        <v>45</v>
      </c>
      <c r="P40" s="178"/>
      <c r="Q40" s="181"/>
      <c r="R40" s="182"/>
      <c r="S40" s="178"/>
    </row>
    <row r="41" spans="1:27" s="67" customFormat="1" ht="15" customHeight="1">
      <c r="A41" s="178"/>
      <c r="B41" s="178"/>
      <c r="C41" s="178"/>
      <c r="D41" s="178"/>
      <c r="E41" s="178"/>
      <c r="F41" s="178"/>
      <c r="G41" s="178" t="s">
        <v>283</v>
      </c>
      <c r="H41" s="178"/>
      <c r="I41" s="178"/>
      <c r="J41" s="181"/>
      <c r="K41" s="180"/>
      <c r="L41" s="180">
        <f>L40+'08_2021'!O129</f>
        <v>4.6010000000000009</v>
      </c>
      <c r="M41" s="180">
        <f>M40+'08_2021'!P129</f>
        <v>2648534.0199999996</v>
      </c>
      <c r="N41" s="180"/>
      <c r="O41" s="178"/>
      <c r="P41" s="178"/>
      <c r="Q41" s="181"/>
      <c r="R41" s="182"/>
      <c r="S41" s="178"/>
    </row>
    <row r="42" spans="1:27" s="67" customFormat="1" ht="15" customHeight="1">
      <c r="A42" s="178"/>
      <c r="B42" s="178"/>
      <c r="C42" s="178"/>
      <c r="D42" s="178"/>
      <c r="E42" s="178"/>
      <c r="F42" s="178"/>
      <c r="G42" s="178" t="s">
        <v>80</v>
      </c>
      <c r="H42" s="178"/>
      <c r="I42" s="178"/>
      <c r="J42" s="181"/>
      <c r="K42" s="180"/>
      <c r="L42" s="180"/>
      <c r="M42" s="180"/>
      <c r="N42" s="180"/>
      <c r="O42" s="178"/>
      <c r="P42" s="178"/>
      <c r="Q42" s="181"/>
      <c r="R42" s="182"/>
      <c r="S42" s="178"/>
    </row>
    <row r="43" spans="1:27" s="67" customFormat="1" ht="15" customHeight="1">
      <c r="A43" s="178"/>
      <c r="B43" s="178"/>
      <c r="C43" s="178"/>
      <c r="D43" s="178"/>
      <c r="E43" s="178"/>
      <c r="F43" s="178"/>
      <c r="G43" s="178" t="s">
        <v>284</v>
      </c>
      <c r="H43" s="178"/>
      <c r="I43" s="178"/>
      <c r="J43" s="181"/>
      <c r="K43" s="180"/>
      <c r="L43" s="180"/>
      <c r="M43" s="180"/>
      <c r="N43" s="180"/>
      <c r="O43" s="178"/>
      <c r="P43" s="178"/>
      <c r="Q43" s="181"/>
      <c r="R43" s="182"/>
      <c r="S43" s="178"/>
    </row>
    <row r="44" spans="1:27" s="67" customFormat="1" ht="15" customHeight="1">
      <c r="A44" s="178"/>
      <c r="B44" s="178"/>
      <c r="C44" s="178"/>
      <c r="D44" s="178"/>
      <c r="E44" s="178"/>
      <c r="F44" s="178"/>
      <c r="G44" s="178" t="s">
        <v>82</v>
      </c>
      <c r="H44" s="178"/>
      <c r="I44" s="178"/>
      <c r="J44" s="181"/>
      <c r="K44" s="180"/>
      <c r="L44" s="180"/>
      <c r="M44" s="180"/>
      <c r="N44" s="180"/>
      <c r="O44" s="178"/>
      <c r="P44" s="178"/>
      <c r="Q44" s="181"/>
      <c r="R44" s="182"/>
      <c r="S44" s="178"/>
    </row>
    <row r="45" spans="1:27" s="67" customFormat="1" ht="15" customHeight="1">
      <c r="A45" s="178"/>
      <c r="B45" s="178"/>
      <c r="C45" s="178"/>
      <c r="D45" s="178"/>
      <c r="E45" s="178"/>
      <c r="F45" s="178"/>
      <c r="G45" s="178"/>
      <c r="H45" s="178"/>
      <c r="I45" s="178"/>
      <c r="J45" s="181"/>
      <c r="K45" s="180"/>
      <c r="L45" s="180"/>
      <c r="M45" s="180"/>
      <c r="N45" s="180"/>
      <c r="O45" s="178"/>
      <c r="P45" s="178"/>
      <c r="Q45" s="181"/>
      <c r="R45" s="182"/>
      <c r="S45" s="178"/>
    </row>
    <row r="46" spans="1:27" s="67" customFormat="1" ht="30" customHeight="1">
      <c r="A46" s="178"/>
      <c r="B46" s="178"/>
      <c r="C46" s="178"/>
      <c r="D46" s="178"/>
      <c r="E46" s="178"/>
      <c r="F46" s="178"/>
      <c r="G46" s="178"/>
      <c r="H46" s="178"/>
      <c r="I46" s="178"/>
      <c r="J46" s="181"/>
      <c r="K46" s="180"/>
      <c r="L46" s="180"/>
      <c r="M46" s="180"/>
      <c r="N46" s="180"/>
      <c r="O46" s="178"/>
      <c r="P46" s="178"/>
      <c r="Q46" s="181"/>
      <c r="R46" s="182"/>
      <c r="S46" s="178"/>
    </row>
    <row r="47" spans="1:27" s="67" customFormat="1" ht="15" customHeight="1">
      <c r="A47" s="178"/>
      <c r="B47" s="178"/>
      <c r="C47" s="178"/>
      <c r="D47" s="178"/>
      <c r="E47" s="178"/>
      <c r="F47" s="178"/>
      <c r="G47" s="178"/>
      <c r="H47" s="178"/>
      <c r="I47" s="178"/>
      <c r="J47" s="181"/>
      <c r="K47" s="180"/>
      <c r="L47" s="180"/>
      <c r="M47" s="180"/>
      <c r="N47" s="180"/>
      <c r="O47" s="178"/>
      <c r="P47" s="178"/>
      <c r="Q47" s="181"/>
      <c r="R47" s="182"/>
      <c r="S47" s="178"/>
    </row>
    <row r="48" spans="1:27" s="67" customFormat="1" ht="15" customHeight="1">
      <c r="A48" s="178"/>
      <c r="B48" s="178"/>
      <c r="C48" s="178"/>
      <c r="D48" s="178"/>
      <c r="E48" s="178"/>
      <c r="F48" s="178"/>
      <c r="G48" s="178"/>
      <c r="H48" s="178"/>
      <c r="I48" s="178"/>
      <c r="J48" s="181"/>
      <c r="K48" s="180"/>
      <c r="L48" s="180"/>
      <c r="M48" s="180"/>
      <c r="N48" s="180"/>
      <c r="O48" s="178"/>
      <c r="P48" s="178"/>
      <c r="Q48" s="181"/>
      <c r="R48" s="182"/>
      <c r="S48" s="178"/>
    </row>
    <row r="49" spans="1:19" s="67" customFormat="1" ht="15" customHeight="1">
      <c r="A49" s="178"/>
      <c r="B49" s="178"/>
      <c r="C49" s="178"/>
      <c r="D49" s="178"/>
      <c r="E49" s="178"/>
      <c r="F49" s="178"/>
      <c r="G49" s="178"/>
      <c r="H49" s="178"/>
      <c r="I49" s="178"/>
      <c r="J49" s="181"/>
      <c r="K49" s="180"/>
      <c r="L49" s="180"/>
      <c r="M49" s="180"/>
      <c r="N49" s="180"/>
      <c r="O49" s="178"/>
      <c r="P49" s="178"/>
      <c r="Q49" s="181"/>
      <c r="R49" s="182"/>
      <c r="S49" s="178"/>
    </row>
    <row r="50" spans="1:19" s="67" customFormat="1" ht="15" customHeight="1">
      <c r="A50" s="178"/>
      <c r="B50" s="178"/>
      <c r="C50" s="178"/>
      <c r="D50" s="178"/>
      <c r="E50" s="178"/>
      <c r="F50" s="178"/>
      <c r="G50" s="178"/>
      <c r="H50" s="178"/>
      <c r="I50" s="178"/>
      <c r="J50" s="181"/>
      <c r="K50" s="180"/>
      <c r="L50" s="180"/>
      <c r="M50" s="180"/>
      <c r="N50" s="180"/>
      <c r="O50" s="178"/>
      <c r="P50" s="178"/>
      <c r="Q50" s="181"/>
      <c r="R50" s="182"/>
      <c r="S50" s="178"/>
    </row>
    <row r="51" spans="1:19" s="67" customFormat="1" ht="15" customHeight="1">
      <c r="A51" s="178"/>
      <c r="B51" s="178"/>
      <c r="C51" s="178"/>
      <c r="D51" s="178"/>
      <c r="E51" s="178"/>
      <c r="F51" s="178"/>
      <c r="G51" s="178"/>
      <c r="H51" s="178"/>
      <c r="I51" s="178"/>
      <c r="J51" s="181"/>
      <c r="K51" s="180"/>
      <c r="L51" s="180"/>
      <c r="M51" s="180"/>
      <c r="N51" s="180"/>
      <c r="O51" s="178"/>
      <c r="P51" s="178"/>
      <c r="Q51" s="181"/>
      <c r="R51" s="182"/>
      <c r="S51" s="178"/>
    </row>
    <row r="52" spans="1:19" s="67" customFormat="1" ht="15" customHeight="1">
      <c r="A52" s="178"/>
      <c r="B52" s="178"/>
      <c r="C52" s="178"/>
      <c r="D52" s="178"/>
      <c r="E52" s="178"/>
      <c r="F52" s="178"/>
      <c r="G52" s="178"/>
      <c r="H52" s="178"/>
      <c r="I52" s="178"/>
      <c r="J52" s="181"/>
      <c r="K52" s="180"/>
      <c r="L52" s="180"/>
      <c r="M52" s="180"/>
      <c r="N52" s="180"/>
      <c r="O52" s="178"/>
      <c r="P52" s="178"/>
      <c r="Q52" s="181"/>
      <c r="R52" s="182"/>
      <c r="S52" s="178"/>
    </row>
    <row r="53" spans="1:19" s="67" customFormat="1" ht="15" customHeight="1">
      <c r="A53" s="178"/>
      <c r="B53" s="178"/>
      <c r="C53" s="178"/>
      <c r="D53" s="178"/>
      <c r="E53" s="178"/>
      <c r="F53" s="178"/>
      <c r="G53" s="178"/>
      <c r="H53" s="178"/>
      <c r="I53" s="178"/>
      <c r="J53" s="181"/>
      <c r="K53" s="180"/>
      <c r="L53" s="180"/>
      <c r="M53" s="180"/>
      <c r="N53" s="180"/>
      <c r="O53" s="178"/>
      <c r="P53" s="178"/>
      <c r="Q53" s="181"/>
      <c r="R53" s="182"/>
      <c r="S53" s="178"/>
    </row>
    <row r="54" spans="1:19" s="125" customFormat="1" ht="15" customHeight="1">
      <c r="A54" s="178"/>
      <c r="B54" s="178"/>
      <c r="C54" s="178"/>
      <c r="D54" s="178"/>
      <c r="E54" s="178"/>
      <c r="F54" s="178"/>
      <c r="G54" s="178"/>
      <c r="H54" s="178"/>
      <c r="I54" s="178"/>
      <c r="J54" s="181"/>
      <c r="K54" s="180"/>
      <c r="L54" s="180"/>
      <c r="M54" s="180"/>
      <c r="N54" s="180"/>
      <c r="O54" s="178"/>
      <c r="P54" s="178"/>
      <c r="Q54" s="181"/>
      <c r="R54" s="182"/>
      <c r="S54" s="178"/>
    </row>
    <row r="55" spans="1:19" s="67" customFormat="1" ht="15" customHeight="1">
      <c r="A55" s="178"/>
      <c r="B55" s="178"/>
      <c r="C55" s="178"/>
      <c r="D55" s="178"/>
      <c r="E55" s="178"/>
      <c r="F55" s="178"/>
      <c r="G55" s="178"/>
      <c r="H55" s="178"/>
      <c r="I55" s="178"/>
      <c r="J55" s="181"/>
      <c r="K55" s="180"/>
      <c r="L55" s="180"/>
      <c r="M55" s="180"/>
      <c r="N55" s="180"/>
      <c r="O55" s="178"/>
      <c r="P55" s="178"/>
      <c r="Q55" s="181"/>
      <c r="R55" s="182"/>
      <c r="S55" s="178"/>
    </row>
    <row r="56" spans="1:19" s="67" customFormat="1" ht="15" customHeight="1">
      <c r="A56" s="178"/>
      <c r="B56" s="178"/>
      <c r="C56" s="178"/>
      <c r="D56" s="178"/>
      <c r="E56" s="178"/>
      <c r="F56" s="178"/>
      <c r="G56" s="178"/>
      <c r="H56" s="178"/>
      <c r="I56" s="178"/>
      <c r="J56" s="181"/>
      <c r="K56" s="180"/>
      <c r="L56" s="180"/>
      <c r="M56" s="180"/>
      <c r="N56" s="180"/>
      <c r="O56" s="178"/>
      <c r="P56" s="178"/>
      <c r="Q56" s="181"/>
      <c r="R56" s="182"/>
      <c r="S56" s="178"/>
    </row>
    <row r="57" spans="1:19" s="67" customFormat="1" ht="15" customHeight="1">
      <c r="A57" s="178"/>
      <c r="B57" s="178"/>
      <c r="C57" s="178"/>
      <c r="D57" s="178"/>
      <c r="E57" s="178"/>
      <c r="F57" s="178"/>
      <c r="G57" s="178"/>
      <c r="H57" s="178"/>
      <c r="I57" s="178"/>
      <c r="J57" s="181"/>
      <c r="K57" s="180"/>
      <c r="L57" s="180"/>
      <c r="M57" s="180"/>
      <c r="N57" s="180"/>
      <c r="O57" s="178"/>
      <c r="P57" s="178"/>
      <c r="Q57" s="181"/>
      <c r="R57" s="182"/>
      <c r="S57" s="178"/>
    </row>
    <row r="58" spans="1:19" s="67" customFormat="1" ht="15" customHeight="1">
      <c r="A58" s="178"/>
      <c r="B58" s="178"/>
      <c r="C58" s="178"/>
      <c r="D58" s="178"/>
      <c r="E58" s="178"/>
      <c r="F58" s="178"/>
      <c r="G58" s="178"/>
      <c r="H58" s="178"/>
      <c r="I58" s="178"/>
      <c r="J58" s="181"/>
      <c r="K58" s="180"/>
      <c r="L58" s="180"/>
      <c r="M58" s="180"/>
      <c r="N58" s="180"/>
      <c r="O58" s="178"/>
      <c r="P58" s="178"/>
      <c r="Q58" s="181"/>
      <c r="R58" s="182"/>
      <c r="S58" s="178"/>
    </row>
    <row r="59" spans="1:19" s="67" customFormat="1" ht="15" customHeight="1">
      <c r="A59" s="178"/>
      <c r="B59" s="178"/>
      <c r="C59" s="178"/>
      <c r="D59" s="178"/>
      <c r="E59" s="178"/>
      <c r="F59" s="178"/>
      <c r="G59" s="178"/>
      <c r="H59" s="178"/>
      <c r="I59" s="178"/>
      <c r="J59" s="181"/>
      <c r="K59" s="180"/>
      <c r="L59" s="180"/>
      <c r="M59" s="180"/>
      <c r="N59" s="180"/>
      <c r="O59" s="178"/>
      <c r="P59" s="178"/>
      <c r="Q59" s="181"/>
      <c r="R59" s="182"/>
      <c r="S59" s="178"/>
    </row>
    <row r="60" spans="1:19" s="67" customFormat="1" ht="15" customHeight="1">
      <c r="A60" s="178"/>
      <c r="B60" s="178"/>
      <c r="C60" s="178"/>
      <c r="D60" s="178"/>
      <c r="E60" s="178"/>
      <c r="F60" s="178"/>
      <c r="G60" s="178"/>
      <c r="H60" s="178"/>
      <c r="I60" s="178"/>
      <c r="J60" s="181"/>
      <c r="K60" s="180"/>
      <c r="L60" s="180"/>
      <c r="M60" s="180"/>
      <c r="N60" s="180"/>
      <c r="O60" s="178"/>
      <c r="P60" s="178"/>
      <c r="Q60" s="181"/>
      <c r="R60" s="182"/>
      <c r="S60" s="178"/>
    </row>
    <row r="61" spans="1:19" s="67" customFormat="1" ht="15" customHeight="1">
      <c r="A61" s="178"/>
      <c r="B61" s="178"/>
      <c r="C61" s="178"/>
      <c r="D61" s="178"/>
      <c r="E61" s="178"/>
      <c r="F61" s="178"/>
      <c r="G61" s="178"/>
      <c r="H61" s="178"/>
      <c r="I61" s="178"/>
      <c r="J61" s="181"/>
      <c r="K61" s="180"/>
      <c r="L61" s="180"/>
      <c r="M61" s="180"/>
      <c r="N61" s="180"/>
      <c r="O61" s="178"/>
      <c r="P61" s="178"/>
      <c r="Q61" s="181"/>
      <c r="R61" s="182"/>
      <c r="S61" s="178"/>
    </row>
    <row r="62" spans="1:19" s="125" customFormat="1" ht="15" customHeight="1">
      <c r="A62" s="178"/>
      <c r="B62" s="178"/>
      <c r="C62" s="178"/>
      <c r="D62" s="178"/>
      <c r="E62" s="178"/>
      <c r="F62" s="178"/>
      <c r="G62" s="178"/>
      <c r="H62" s="178"/>
      <c r="I62" s="178"/>
      <c r="J62" s="181"/>
      <c r="K62" s="180"/>
      <c r="L62" s="180"/>
      <c r="M62" s="180"/>
      <c r="N62" s="180"/>
      <c r="O62" s="178"/>
      <c r="P62" s="178"/>
      <c r="Q62" s="181"/>
      <c r="R62" s="182"/>
      <c r="S62" s="178"/>
    </row>
    <row r="63" spans="1:19" s="67" customFormat="1" ht="15" customHeight="1">
      <c r="A63" s="178"/>
      <c r="B63" s="178"/>
      <c r="C63" s="178"/>
      <c r="D63" s="178"/>
      <c r="E63" s="178"/>
      <c r="F63" s="178"/>
      <c r="G63" s="178"/>
      <c r="H63" s="178"/>
      <c r="I63" s="178"/>
      <c r="J63" s="181"/>
      <c r="K63" s="180"/>
      <c r="L63" s="180"/>
      <c r="M63" s="180"/>
      <c r="N63" s="180"/>
      <c r="O63" s="178"/>
      <c r="P63" s="178"/>
      <c r="Q63" s="181"/>
      <c r="R63" s="182"/>
      <c r="S63" s="178"/>
    </row>
    <row r="64" spans="1:19" s="67" customFormat="1" ht="15" customHeight="1">
      <c r="A64" s="178"/>
      <c r="B64" s="178"/>
      <c r="C64" s="178"/>
      <c r="D64" s="178"/>
      <c r="E64" s="178"/>
      <c r="F64" s="178"/>
      <c r="G64" s="178"/>
      <c r="H64" s="178"/>
      <c r="I64" s="178"/>
      <c r="J64" s="181"/>
      <c r="K64" s="180"/>
      <c r="L64" s="180"/>
      <c r="M64" s="180"/>
      <c r="N64" s="180"/>
      <c r="O64" s="178"/>
      <c r="P64" s="178"/>
      <c r="Q64" s="181"/>
      <c r="R64" s="182"/>
      <c r="S64" s="178"/>
    </row>
    <row r="65" spans="1:19" s="67" customFormat="1">
      <c r="A65" s="178"/>
      <c r="B65" s="178"/>
      <c r="C65" s="178"/>
      <c r="D65" s="178"/>
      <c r="E65" s="178"/>
      <c r="F65" s="178"/>
      <c r="G65" s="178"/>
      <c r="H65" s="178"/>
      <c r="I65" s="178"/>
      <c r="J65" s="181"/>
      <c r="K65" s="180"/>
      <c r="L65" s="180"/>
      <c r="M65" s="180"/>
      <c r="N65" s="180"/>
      <c r="O65" s="178"/>
      <c r="P65" s="178"/>
      <c r="Q65" s="181"/>
      <c r="R65" s="182"/>
      <c r="S65" s="178"/>
    </row>
    <row r="66" spans="1:19" s="67" customFormat="1">
      <c r="A66" s="178"/>
      <c r="B66" s="178"/>
      <c r="C66" s="178"/>
      <c r="D66" s="178"/>
      <c r="E66" s="178"/>
      <c r="F66" s="178"/>
      <c r="G66" s="178"/>
      <c r="H66" s="178"/>
      <c r="I66" s="178"/>
      <c r="J66" s="181"/>
      <c r="K66" s="180"/>
      <c r="L66" s="180"/>
      <c r="M66" s="180"/>
      <c r="N66" s="180"/>
      <c r="O66" s="178"/>
      <c r="P66" s="178"/>
      <c r="Q66" s="181"/>
      <c r="R66" s="182"/>
      <c r="S66" s="178"/>
    </row>
    <row r="67" spans="1:19" s="67" customFormat="1" ht="15" customHeight="1">
      <c r="A67" s="178"/>
      <c r="B67" s="178"/>
      <c r="C67" s="178"/>
      <c r="D67" s="178"/>
      <c r="E67" s="178"/>
      <c r="F67" s="178"/>
      <c r="G67" s="178"/>
      <c r="H67" s="178"/>
      <c r="I67" s="178"/>
      <c r="J67" s="181"/>
      <c r="K67" s="180"/>
      <c r="L67" s="180"/>
      <c r="M67" s="180"/>
      <c r="N67" s="180"/>
      <c r="O67" s="178"/>
      <c r="P67" s="178"/>
      <c r="Q67" s="181"/>
      <c r="R67" s="182"/>
      <c r="S67" s="178"/>
    </row>
    <row r="68" spans="1:19" s="67" customFormat="1" ht="15" customHeight="1">
      <c r="A68" s="178"/>
      <c r="B68" s="178"/>
      <c r="C68" s="178"/>
      <c r="D68" s="178"/>
      <c r="E68" s="178"/>
      <c r="F68" s="178"/>
      <c r="G68" s="178"/>
      <c r="H68" s="178"/>
      <c r="I68" s="178"/>
      <c r="J68" s="181"/>
      <c r="K68" s="180"/>
      <c r="L68" s="180"/>
      <c r="M68" s="180"/>
      <c r="N68" s="180"/>
      <c r="O68" s="178"/>
      <c r="P68" s="178"/>
      <c r="Q68" s="181"/>
      <c r="R68" s="182"/>
      <c r="S68" s="178"/>
    </row>
    <row r="69" spans="1:19" s="67" customFormat="1" ht="15" customHeight="1">
      <c r="A69" s="178"/>
      <c r="B69" s="178"/>
      <c r="C69" s="178"/>
      <c r="D69" s="178"/>
      <c r="E69" s="178"/>
      <c r="F69" s="178"/>
      <c r="G69" s="178"/>
      <c r="H69" s="178"/>
      <c r="I69" s="178"/>
      <c r="J69" s="181"/>
      <c r="K69" s="180"/>
      <c r="L69" s="180"/>
      <c r="M69" s="180"/>
      <c r="N69" s="180"/>
      <c r="O69" s="178"/>
      <c r="P69" s="178"/>
      <c r="Q69" s="181"/>
      <c r="R69" s="182"/>
      <c r="S69" s="178"/>
    </row>
    <row r="70" spans="1:19" s="67" customFormat="1" ht="15" customHeight="1">
      <c r="A70" s="178"/>
      <c r="B70" s="178"/>
      <c r="C70" s="178"/>
      <c r="D70" s="178"/>
      <c r="E70" s="178"/>
      <c r="F70" s="178"/>
      <c r="G70" s="178"/>
      <c r="H70" s="178"/>
      <c r="I70" s="178"/>
      <c r="J70" s="181"/>
      <c r="K70" s="180"/>
      <c r="L70" s="180"/>
      <c r="M70" s="180"/>
      <c r="N70" s="180"/>
      <c r="O70" s="178"/>
      <c r="P70" s="178"/>
      <c r="Q70" s="181"/>
      <c r="R70" s="182"/>
      <c r="S70" s="178"/>
    </row>
    <row r="71" spans="1:19" s="67" customFormat="1" ht="15" customHeight="1">
      <c r="A71" s="178"/>
      <c r="B71" s="178"/>
      <c r="C71" s="178"/>
      <c r="D71" s="178"/>
      <c r="E71" s="178"/>
      <c r="F71" s="178"/>
      <c r="G71" s="178"/>
      <c r="H71" s="178"/>
      <c r="I71" s="178"/>
      <c r="J71" s="181"/>
      <c r="K71" s="180"/>
      <c r="L71" s="180"/>
      <c r="M71" s="180"/>
      <c r="N71" s="180"/>
      <c r="O71" s="178"/>
      <c r="P71" s="178"/>
      <c r="Q71" s="181"/>
      <c r="R71" s="182"/>
      <c r="S71" s="178"/>
    </row>
    <row r="72" spans="1:19" s="67" customFormat="1" ht="15" customHeight="1">
      <c r="A72" s="89">
        <v>4</v>
      </c>
      <c r="B72" s="100">
        <v>44105</v>
      </c>
      <c r="C72" s="93" t="s">
        <v>236</v>
      </c>
      <c r="D72" s="154">
        <v>808001</v>
      </c>
      <c r="E72" s="93" t="s">
        <v>237</v>
      </c>
      <c r="F72" s="151">
        <v>120</v>
      </c>
      <c r="G72" s="324">
        <v>17821.28</v>
      </c>
      <c r="H72" s="324">
        <v>17821.28</v>
      </c>
      <c r="I72" s="84">
        <v>114603.15653730952</v>
      </c>
      <c r="J72" s="88">
        <v>18513.29</v>
      </c>
      <c r="K72" s="88">
        <v>6699.38</v>
      </c>
      <c r="L72" s="88">
        <v>2036.61</v>
      </c>
      <c r="M72" s="88">
        <v>3099.2019876510776</v>
      </c>
      <c r="N72" s="88">
        <v>4558.957427482922</v>
      </c>
      <c r="O72" s="88">
        <v>79695.717122175512</v>
      </c>
      <c r="P72" s="88">
        <v>-96781.876537309523</v>
      </c>
      <c r="Q72" s="138">
        <v>1.2E-2</v>
      </c>
      <c r="R72" s="126" t="s">
        <v>280</v>
      </c>
      <c r="S72" s="9" t="s">
        <v>82</v>
      </c>
    </row>
    <row r="73" spans="1:19" s="125" customFormat="1" ht="15" customHeight="1">
      <c r="A73" s="122"/>
      <c r="B73" s="127"/>
      <c r="C73" s="124"/>
      <c r="D73" s="154"/>
      <c r="E73" s="124"/>
      <c r="F73" s="152"/>
      <c r="G73" s="325"/>
      <c r="H73" s="325"/>
      <c r="I73" s="119"/>
      <c r="J73" s="121"/>
      <c r="K73" s="121"/>
      <c r="L73" s="121"/>
      <c r="M73" s="121"/>
      <c r="N73" s="121"/>
      <c r="O73" s="121"/>
      <c r="P73" s="121"/>
      <c r="Q73" s="138">
        <v>5.0000000000000001E-3</v>
      </c>
      <c r="R73" s="126" t="s">
        <v>138</v>
      </c>
      <c r="S73" s="9" t="s">
        <v>284</v>
      </c>
    </row>
    <row r="74" spans="1:19" s="67" customFormat="1" ht="15" customHeight="1">
      <c r="A74" s="89">
        <v>5</v>
      </c>
      <c r="B74" s="100">
        <v>44105</v>
      </c>
      <c r="C74" s="93" t="s">
        <v>238</v>
      </c>
      <c r="D74" s="154">
        <v>4556004</v>
      </c>
      <c r="E74" s="93" t="s">
        <v>239</v>
      </c>
      <c r="F74" s="146">
        <v>140</v>
      </c>
      <c r="G74" s="88">
        <v>17291.939999999999</v>
      </c>
      <c r="H74" s="88">
        <v>14294.91</v>
      </c>
      <c r="I74" s="84">
        <v>21268.403802417237</v>
      </c>
      <c r="J74" s="88">
        <v>578.48</v>
      </c>
      <c r="K74" s="88">
        <v>1442.49</v>
      </c>
      <c r="L74" s="88">
        <v>438.52</v>
      </c>
      <c r="M74" s="88">
        <v>667.31581187598533</v>
      </c>
      <c r="N74" s="88">
        <v>981.6282995270625</v>
      </c>
      <c r="O74" s="88">
        <v>17159.96969101419</v>
      </c>
      <c r="P74" s="88">
        <v>-3976.4638024172382</v>
      </c>
      <c r="Q74" s="131"/>
      <c r="R74" s="120"/>
    </row>
    <row r="75" spans="1:19" s="67" customFormat="1" ht="15" customHeight="1">
      <c r="A75" s="89">
        <v>6</v>
      </c>
      <c r="B75" s="100">
        <v>44105</v>
      </c>
      <c r="C75" s="93" t="s">
        <v>240</v>
      </c>
      <c r="D75" s="154">
        <v>5523001</v>
      </c>
      <c r="E75" s="93" t="s">
        <v>241</v>
      </c>
      <c r="F75" s="146">
        <v>50</v>
      </c>
      <c r="G75" s="88">
        <v>17821.28</v>
      </c>
      <c r="H75" s="88">
        <v>2673.19</v>
      </c>
      <c r="I75" s="84">
        <v>81357.065588005091</v>
      </c>
      <c r="J75" s="88">
        <v>29632.69</v>
      </c>
      <c r="K75" s="88">
        <v>3606.23</v>
      </c>
      <c r="L75" s="88">
        <v>1096.29</v>
      </c>
      <c r="M75" s="88">
        <v>1668.2743122355287</v>
      </c>
      <c r="N75" s="88">
        <v>2454.0483637884781</v>
      </c>
      <c r="O75" s="88">
        <v>42899.532911981085</v>
      </c>
      <c r="P75" s="88">
        <v>-63535.785588005092</v>
      </c>
      <c r="Q75" s="131"/>
      <c r="R75" s="120"/>
    </row>
    <row r="76" spans="1:19" s="67" customFormat="1" ht="15" customHeight="1">
      <c r="A76" s="89">
        <v>7</v>
      </c>
      <c r="B76" s="100">
        <v>44105</v>
      </c>
      <c r="C76" s="93" t="s">
        <v>242</v>
      </c>
      <c r="D76" s="154">
        <v>5136001</v>
      </c>
      <c r="E76" s="93" t="s">
        <v>243</v>
      </c>
      <c r="F76" s="146">
        <v>15</v>
      </c>
      <c r="G76" s="88">
        <v>550</v>
      </c>
      <c r="H76" s="88">
        <v>550</v>
      </c>
      <c r="I76" s="84">
        <v>9121.144587825318</v>
      </c>
      <c r="J76" s="88">
        <v>432.24</v>
      </c>
      <c r="K76" s="88">
        <v>605.79</v>
      </c>
      <c r="L76" s="88">
        <v>184.16</v>
      </c>
      <c r="M76" s="88">
        <v>280.2446408717538</v>
      </c>
      <c r="N76" s="88">
        <v>412.24269734767819</v>
      </c>
      <c r="O76" s="88">
        <v>7206.4672496058865</v>
      </c>
      <c r="P76" s="88">
        <v>-8571.144587825318</v>
      </c>
      <c r="Q76" s="137"/>
      <c r="R76" s="120"/>
    </row>
    <row r="77" spans="1:19" s="67" customFormat="1" ht="15" customHeight="1">
      <c r="A77" s="89">
        <v>8</v>
      </c>
      <c r="B77" s="100">
        <v>44105</v>
      </c>
      <c r="C77" s="93" t="s">
        <v>136</v>
      </c>
      <c r="D77" s="154">
        <v>4222002</v>
      </c>
      <c r="E77" s="93" t="s">
        <v>244</v>
      </c>
      <c r="F77" s="146">
        <v>15</v>
      </c>
      <c r="G77" s="88">
        <v>550</v>
      </c>
      <c r="H77" s="88">
        <v>550</v>
      </c>
      <c r="I77" s="84">
        <v>9121.144587825318</v>
      </c>
      <c r="J77" s="88">
        <v>432.24</v>
      </c>
      <c r="K77" s="88">
        <v>605.79</v>
      </c>
      <c r="L77" s="88">
        <v>184.16</v>
      </c>
      <c r="M77" s="88">
        <v>280.2446408717538</v>
      </c>
      <c r="N77" s="88">
        <v>412.24269734767819</v>
      </c>
      <c r="O77" s="88">
        <v>7206.4672496058865</v>
      </c>
      <c r="P77" s="88">
        <v>-8571.144587825318</v>
      </c>
      <c r="Q77" s="137"/>
      <c r="R77" s="120"/>
    </row>
    <row r="78" spans="1:19" s="67" customFormat="1" ht="15" customHeight="1">
      <c r="A78" s="89">
        <v>9</v>
      </c>
      <c r="B78" s="100">
        <v>44105</v>
      </c>
      <c r="C78" s="93" t="s">
        <v>245</v>
      </c>
      <c r="D78" s="154">
        <v>4235002</v>
      </c>
      <c r="E78" s="93" t="s">
        <v>246</v>
      </c>
      <c r="F78" s="146">
        <v>15</v>
      </c>
      <c r="G78" s="88">
        <v>550</v>
      </c>
      <c r="H78" s="88">
        <v>550</v>
      </c>
      <c r="I78" s="84">
        <v>9121.144587825318</v>
      </c>
      <c r="J78" s="88">
        <v>432.24</v>
      </c>
      <c r="K78" s="88">
        <v>605.79</v>
      </c>
      <c r="L78" s="88">
        <v>184.16</v>
      </c>
      <c r="M78" s="88">
        <v>280.2446408717538</v>
      </c>
      <c r="N78" s="88">
        <v>412.24269734767819</v>
      </c>
      <c r="O78" s="88">
        <v>7206.4672496058865</v>
      </c>
      <c r="P78" s="88">
        <v>-8571.144587825318</v>
      </c>
      <c r="Q78" s="139"/>
      <c r="R78" s="126"/>
    </row>
    <row r="79" spans="1:19" s="67" customFormat="1" ht="15" customHeight="1">
      <c r="A79" s="89">
        <v>10</v>
      </c>
      <c r="B79" s="100">
        <v>44105</v>
      </c>
      <c r="C79" s="93" t="s">
        <v>247</v>
      </c>
      <c r="D79" s="154">
        <v>5589001</v>
      </c>
      <c r="E79" s="93" t="s">
        <v>248</v>
      </c>
      <c r="F79" s="146">
        <v>15</v>
      </c>
      <c r="G79" s="88">
        <v>550</v>
      </c>
      <c r="H79" s="88">
        <v>550</v>
      </c>
      <c r="I79" s="84">
        <v>9121.144587825318</v>
      </c>
      <c r="J79" s="88">
        <v>432.24</v>
      </c>
      <c r="K79" s="88">
        <v>605.79</v>
      </c>
      <c r="L79" s="88">
        <v>184.16</v>
      </c>
      <c r="M79" s="88">
        <v>280.2446408717538</v>
      </c>
      <c r="N79" s="88">
        <v>412.24269734767819</v>
      </c>
      <c r="O79" s="88">
        <v>7206.4672496058865</v>
      </c>
      <c r="P79" s="88">
        <v>-8571.144587825318</v>
      </c>
      <c r="Q79" s="137"/>
      <c r="R79" s="120"/>
    </row>
    <row r="80" spans="1:19" s="67" customFormat="1" ht="15" customHeight="1">
      <c r="A80" s="89">
        <v>11</v>
      </c>
      <c r="B80" s="100">
        <v>44105</v>
      </c>
      <c r="C80" s="93" t="s">
        <v>249</v>
      </c>
      <c r="D80" s="154">
        <v>5324001</v>
      </c>
      <c r="E80" s="93" t="s">
        <v>250</v>
      </c>
      <c r="F80" s="146">
        <v>15</v>
      </c>
      <c r="G80" s="88">
        <v>550</v>
      </c>
      <c r="H80" s="88">
        <v>550</v>
      </c>
      <c r="I80" s="84">
        <v>9121.144587825318</v>
      </c>
      <c r="J80" s="88">
        <v>432.24</v>
      </c>
      <c r="K80" s="88">
        <v>605.79</v>
      </c>
      <c r="L80" s="88">
        <v>184.16</v>
      </c>
      <c r="M80" s="88">
        <v>280.2446408717538</v>
      </c>
      <c r="N80" s="88">
        <v>412.24269734767819</v>
      </c>
      <c r="O80" s="88">
        <v>7206.4672496058865</v>
      </c>
      <c r="P80" s="88">
        <v>-8571.144587825318</v>
      </c>
      <c r="Q80" s="137"/>
      <c r="R80" s="120"/>
    </row>
    <row r="81" spans="1:19" s="67" customFormat="1" ht="15" customHeight="1">
      <c r="A81" s="89">
        <v>12</v>
      </c>
      <c r="B81" s="100">
        <v>44105</v>
      </c>
      <c r="C81" s="93" t="s">
        <v>251</v>
      </c>
      <c r="D81" s="154">
        <v>2476003</v>
      </c>
      <c r="E81" s="93" t="s">
        <v>252</v>
      </c>
      <c r="F81" s="146">
        <v>15</v>
      </c>
      <c r="G81" s="88">
        <v>550</v>
      </c>
      <c r="H81" s="88">
        <v>550</v>
      </c>
      <c r="I81" s="84">
        <v>9121.144587825318</v>
      </c>
      <c r="J81" s="88">
        <v>432.24</v>
      </c>
      <c r="K81" s="88">
        <v>605.79</v>
      </c>
      <c r="L81" s="88">
        <v>184.16</v>
      </c>
      <c r="M81" s="88">
        <v>280.2446408717538</v>
      </c>
      <c r="N81" s="88">
        <v>412.24269734767819</v>
      </c>
      <c r="O81" s="88">
        <v>7206.4672496058865</v>
      </c>
      <c r="P81" s="88">
        <v>-8571.144587825318</v>
      </c>
      <c r="Q81" s="137"/>
      <c r="R81" s="120"/>
    </row>
    <row r="82" spans="1:19" s="67" customFormat="1" ht="15" customHeight="1">
      <c r="A82" s="89">
        <v>13</v>
      </c>
      <c r="B82" s="100">
        <v>44105</v>
      </c>
      <c r="C82" s="93" t="s">
        <v>235</v>
      </c>
      <c r="D82" s="154">
        <v>5662002</v>
      </c>
      <c r="E82" s="93" t="s">
        <v>253</v>
      </c>
      <c r="F82" s="146">
        <v>0.5</v>
      </c>
      <c r="G82" s="88">
        <v>37059.17</v>
      </c>
      <c r="H82" s="88">
        <v>37059.17</v>
      </c>
      <c r="I82" s="84">
        <v>13714.174343778524</v>
      </c>
      <c r="J82" s="88">
        <v>407.16</v>
      </c>
      <c r="K82" s="88">
        <v>927.77</v>
      </c>
      <c r="L82" s="88">
        <v>282.04000000000002</v>
      </c>
      <c r="M82" s="88">
        <v>429.19308487982977</v>
      </c>
      <c r="N82" s="88">
        <v>631.34736294493473</v>
      </c>
      <c r="O82" s="88">
        <v>11036.663895953759</v>
      </c>
      <c r="P82" s="88">
        <v>23344.995656221472</v>
      </c>
      <c r="Q82" s="131">
        <v>5.0000000000000001E-3</v>
      </c>
      <c r="R82" s="120" t="s">
        <v>132</v>
      </c>
      <c r="S82" s="9" t="s">
        <v>48</v>
      </c>
    </row>
    <row r="83" spans="1:19" s="67" customFormat="1" ht="15" customHeight="1">
      <c r="A83" s="89">
        <v>14</v>
      </c>
      <c r="B83" s="100">
        <v>44105</v>
      </c>
      <c r="C83" s="94" t="s">
        <v>235</v>
      </c>
      <c r="D83" s="154">
        <v>5662003</v>
      </c>
      <c r="E83" s="89" t="s">
        <v>254</v>
      </c>
      <c r="F83" s="145">
        <v>0.5</v>
      </c>
      <c r="G83" s="88">
        <v>37059.17</v>
      </c>
      <c r="H83" s="88">
        <v>37059.17</v>
      </c>
      <c r="I83" s="84">
        <v>13663.544343778523</v>
      </c>
      <c r="J83" s="88">
        <v>356.53</v>
      </c>
      <c r="K83" s="88">
        <v>927.77</v>
      </c>
      <c r="L83" s="88">
        <v>282.04000000000002</v>
      </c>
      <c r="M83" s="88">
        <v>429.19308487982977</v>
      </c>
      <c r="N83" s="88">
        <v>631.34736294493473</v>
      </c>
      <c r="O83" s="88">
        <v>11036.663895953759</v>
      </c>
      <c r="P83" s="88">
        <v>23395.625656221477</v>
      </c>
      <c r="Q83" s="131">
        <v>5.0000000000000001E-3</v>
      </c>
      <c r="R83" s="120" t="s">
        <v>132</v>
      </c>
      <c r="S83" s="9" t="s">
        <v>48</v>
      </c>
    </row>
    <row r="84" spans="1:19" s="67" customFormat="1" ht="15" customHeight="1">
      <c r="A84" s="89">
        <v>15</v>
      </c>
      <c r="B84" s="100">
        <v>44105</v>
      </c>
      <c r="C84" s="89" t="s">
        <v>255</v>
      </c>
      <c r="D84" s="154">
        <v>5483004</v>
      </c>
      <c r="E84" s="89" t="s">
        <v>256</v>
      </c>
      <c r="F84" s="145">
        <v>15</v>
      </c>
      <c r="G84" s="88">
        <v>17821.28</v>
      </c>
      <c r="H84" s="88">
        <v>17821.28</v>
      </c>
      <c r="I84" s="84">
        <v>9121.144587825318</v>
      </c>
      <c r="J84" s="88">
        <v>432.24</v>
      </c>
      <c r="K84" s="88">
        <v>605.79</v>
      </c>
      <c r="L84" s="88">
        <v>184.16</v>
      </c>
      <c r="M84" s="88">
        <v>280.2446408717538</v>
      </c>
      <c r="N84" s="88">
        <v>412.24269734767819</v>
      </c>
      <c r="O84" s="88">
        <v>7206.4672496058865</v>
      </c>
      <c r="P84" s="88">
        <v>8700.1354121746808</v>
      </c>
      <c r="Q84" s="131"/>
      <c r="R84" s="120"/>
      <c r="S84" s="67" t="s">
        <v>226</v>
      </c>
    </row>
    <row r="85" spans="1:19" s="67" customFormat="1" ht="15" customHeight="1">
      <c r="A85" s="89">
        <v>16</v>
      </c>
      <c r="B85" s="100">
        <v>44105</v>
      </c>
      <c r="C85" s="89" t="s">
        <v>231</v>
      </c>
      <c r="D85" s="89">
        <v>4744012</v>
      </c>
      <c r="E85" s="89" t="s">
        <v>257</v>
      </c>
      <c r="F85" s="145">
        <v>15</v>
      </c>
      <c r="G85" s="88">
        <v>17821.28</v>
      </c>
      <c r="H85" s="88">
        <v>17821.28</v>
      </c>
      <c r="I85" s="84">
        <v>9121.144587825318</v>
      </c>
      <c r="J85" s="88">
        <v>432.24</v>
      </c>
      <c r="K85" s="88">
        <v>605.79</v>
      </c>
      <c r="L85" s="88">
        <v>184.16</v>
      </c>
      <c r="M85" s="88">
        <v>280.2446408717538</v>
      </c>
      <c r="N85" s="88">
        <v>412.24269734767819</v>
      </c>
      <c r="O85" s="88">
        <v>7206.4672496058865</v>
      </c>
      <c r="P85" s="88">
        <v>8700.1354121746808</v>
      </c>
      <c r="Q85" s="90"/>
      <c r="R85" s="89"/>
      <c r="S85" s="67" t="s">
        <v>226</v>
      </c>
    </row>
    <row r="86" spans="1:19" s="67" customFormat="1" ht="15" customHeight="1">
      <c r="A86" s="101"/>
      <c r="B86" s="102"/>
      <c r="C86" s="103" t="s">
        <v>258</v>
      </c>
      <c r="D86" s="101"/>
      <c r="E86" s="103"/>
      <c r="F86" s="150"/>
      <c r="G86" s="104">
        <v>240663.74</v>
      </c>
      <c r="H86" s="104">
        <v>222518.62</v>
      </c>
      <c r="I86" s="104">
        <v>399357.42</v>
      </c>
      <c r="J86" s="104">
        <v>58170.689999999988</v>
      </c>
      <c r="K86" s="104">
        <v>23787.540000000008</v>
      </c>
      <c r="L86" s="104">
        <v>7231.3999999999987</v>
      </c>
      <c r="M86" s="104">
        <v>11004.35</v>
      </c>
      <c r="N86" s="104">
        <v>16187.509999999998</v>
      </c>
      <c r="O86" s="104">
        <v>282975.93</v>
      </c>
      <c r="P86" s="104">
        <v>-158693.68</v>
      </c>
      <c r="Q86" s="105"/>
      <c r="R86" s="101"/>
    </row>
    <row r="87" spans="1:19" s="67" customFormat="1" ht="15" customHeight="1">
      <c r="A87" s="89">
        <v>1</v>
      </c>
      <c r="B87" s="100">
        <v>44136</v>
      </c>
      <c r="C87" s="89" t="s">
        <v>259</v>
      </c>
      <c r="D87" s="89">
        <v>3540011</v>
      </c>
      <c r="E87" s="89" t="s">
        <v>260</v>
      </c>
      <c r="F87" s="145">
        <v>150</v>
      </c>
      <c r="G87" s="88">
        <v>17821.28</v>
      </c>
      <c r="H87" s="88">
        <v>17821.28</v>
      </c>
      <c r="I87" s="84">
        <v>12019.439999999999</v>
      </c>
      <c r="J87" s="88"/>
      <c r="K87" s="88"/>
      <c r="L87" s="88"/>
      <c r="M87" s="88">
        <v>667.68</v>
      </c>
      <c r="N87" s="88">
        <v>4587.32</v>
      </c>
      <c r="O87" s="88">
        <v>6764.44</v>
      </c>
      <c r="P87" s="88">
        <v>5801.84</v>
      </c>
      <c r="Q87" s="90"/>
      <c r="R87" s="89"/>
      <c r="S87" s="67" t="s">
        <v>226</v>
      </c>
    </row>
    <row r="88" spans="1:19" s="67" customFormat="1" ht="15" customHeight="1">
      <c r="A88" s="101"/>
      <c r="B88" s="102"/>
      <c r="C88" s="101" t="s">
        <v>261</v>
      </c>
      <c r="D88" s="101"/>
      <c r="E88" s="101"/>
      <c r="F88" s="149"/>
      <c r="G88" s="104">
        <v>17821.28</v>
      </c>
      <c r="H88" s="104">
        <v>17821.28</v>
      </c>
      <c r="I88" s="104">
        <v>12019.439999999999</v>
      </c>
      <c r="J88" s="104">
        <v>0</v>
      </c>
      <c r="K88" s="104">
        <v>0</v>
      </c>
      <c r="L88" s="104">
        <v>0</v>
      </c>
      <c r="M88" s="104">
        <v>667.68</v>
      </c>
      <c r="N88" s="104">
        <v>4587.32</v>
      </c>
      <c r="O88" s="104">
        <v>6764.44</v>
      </c>
      <c r="P88" s="104">
        <v>5801.84</v>
      </c>
      <c r="Q88" s="110"/>
      <c r="R88" s="103"/>
    </row>
    <row r="89" spans="1:19" s="65" customFormat="1" ht="15" customHeight="1">
      <c r="A89" s="89">
        <v>1</v>
      </c>
      <c r="B89" s="100">
        <v>44166</v>
      </c>
      <c r="C89" s="96" t="s">
        <v>262</v>
      </c>
      <c r="D89" s="96">
        <v>5690001</v>
      </c>
      <c r="E89" s="96" t="s">
        <v>263</v>
      </c>
      <c r="F89" s="148">
        <v>100</v>
      </c>
      <c r="G89" s="97">
        <v>102904.36</v>
      </c>
      <c r="H89" s="97">
        <v>46306.96</v>
      </c>
      <c r="I89" s="84">
        <v>8929.8651426628348</v>
      </c>
      <c r="J89" s="97"/>
      <c r="K89" s="88">
        <v>1243.908926156668</v>
      </c>
      <c r="L89" s="97">
        <v>378.31366860863602</v>
      </c>
      <c r="M89" s="88">
        <v>204.87514095715434</v>
      </c>
      <c r="N89" s="88">
        <v>764.92406019644727</v>
      </c>
      <c r="O89" s="88">
        <v>6337.843346743929</v>
      </c>
      <c r="P89" s="88">
        <v>93974.494857337166</v>
      </c>
      <c r="Q89" s="98"/>
      <c r="R89" s="99"/>
    </row>
    <row r="90" spans="1:19" ht="15" customHeight="1">
      <c r="A90" s="89">
        <v>2</v>
      </c>
      <c r="B90" s="100">
        <v>44166</v>
      </c>
      <c r="C90" s="95" t="s">
        <v>149</v>
      </c>
      <c r="D90" s="155">
        <v>846134</v>
      </c>
      <c r="E90" s="95" t="s">
        <v>264</v>
      </c>
      <c r="F90" s="147">
        <v>1.2</v>
      </c>
      <c r="G90" s="87">
        <v>550</v>
      </c>
      <c r="H90" s="87">
        <v>550</v>
      </c>
      <c r="I90" s="84">
        <v>2342.6335994069427</v>
      </c>
      <c r="J90" s="87"/>
      <c r="K90" s="88">
        <v>326.32327571162801</v>
      </c>
      <c r="L90" s="87">
        <v>99.245654557916382</v>
      </c>
      <c r="M90" s="88">
        <v>53.746319930016959</v>
      </c>
      <c r="N90" s="88">
        <v>200.6678461301635</v>
      </c>
      <c r="O90" s="88">
        <v>1662.650503077218</v>
      </c>
      <c r="P90" s="88">
        <v>-1792.6335994069427</v>
      </c>
      <c r="Q90" s="123">
        <v>0.15</v>
      </c>
      <c r="R90" s="89" t="s">
        <v>132</v>
      </c>
      <c r="S90" s="9" t="s">
        <v>48</v>
      </c>
    </row>
    <row r="91" spans="1:19" ht="15" customHeight="1">
      <c r="A91" s="89">
        <v>3</v>
      </c>
      <c r="B91" s="100">
        <v>44166</v>
      </c>
      <c r="C91" s="95" t="s">
        <v>149</v>
      </c>
      <c r="D91" s="155">
        <v>846116</v>
      </c>
      <c r="E91" s="95" t="s">
        <v>265</v>
      </c>
      <c r="F91" s="147">
        <v>0.3</v>
      </c>
      <c r="G91" s="87">
        <v>17294.900000000001</v>
      </c>
      <c r="H91" s="87">
        <v>17294.900000000001</v>
      </c>
      <c r="I91" s="84">
        <v>6257.9680921229383</v>
      </c>
      <c r="J91" s="87">
        <v>2429.06</v>
      </c>
      <c r="K91" s="88">
        <v>533.357769365482</v>
      </c>
      <c r="L91" s="87">
        <v>162.21166209732695</v>
      </c>
      <c r="M91" s="88">
        <v>87.845457076158922</v>
      </c>
      <c r="N91" s="88">
        <v>327.98075638937945</v>
      </c>
      <c r="O91" s="88">
        <v>2717.512447194591</v>
      </c>
      <c r="P91" s="88">
        <v>11036.931907877064</v>
      </c>
      <c r="Q91" s="90">
        <v>7.0000000000000007E-2</v>
      </c>
      <c r="R91" s="89" t="s">
        <v>132</v>
      </c>
      <c r="S91" s="31" t="s">
        <v>281</v>
      </c>
    </row>
    <row r="92" spans="1:19" ht="15" customHeight="1">
      <c r="A92" s="89">
        <v>4</v>
      </c>
      <c r="B92" s="100">
        <v>44166</v>
      </c>
      <c r="C92" s="95" t="s">
        <v>266</v>
      </c>
      <c r="D92" s="155">
        <v>5065002</v>
      </c>
      <c r="E92" s="95" t="s">
        <v>267</v>
      </c>
      <c r="F92" s="147">
        <v>15</v>
      </c>
      <c r="G92" s="87">
        <v>550</v>
      </c>
      <c r="H92" s="87">
        <v>550</v>
      </c>
      <c r="I92" s="84">
        <v>7092.1531658072863</v>
      </c>
      <c r="J92" s="87"/>
      <c r="K92" s="88">
        <v>987.92002876622246</v>
      </c>
      <c r="L92" s="87">
        <v>300.45901473612105</v>
      </c>
      <c r="M92" s="88">
        <v>162.71308203666982</v>
      </c>
      <c r="N92" s="88">
        <v>607.50733728401019</v>
      </c>
      <c r="O92" s="88">
        <v>5033.5537029842626</v>
      </c>
      <c r="P92" s="88">
        <v>-6542.1531658072863</v>
      </c>
      <c r="Q92" s="123">
        <v>0.115</v>
      </c>
      <c r="R92" s="89" t="s">
        <v>132</v>
      </c>
      <c r="S92" s="9" t="s">
        <v>48</v>
      </c>
    </row>
    <row r="93" spans="1:19" ht="15" customHeight="1">
      <c r="A93" s="101"/>
      <c r="B93" s="102"/>
      <c r="C93" s="111" t="s">
        <v>268</v>
      </c>
      <c r="D93" s="111"/>
      <c r="E93" s="111"/>
      <c r="F93" s="111"/>
      <c r="G93" s="112">
        <v>121299.26000000001</v>
      </c>
      <c r="H93" s="112">
        <v>64701.86</v>
      </c>
      <c r="I93" s="104">
        <v>24622.620000000003</v>
      </c>
      <c r="J93" s="112">
        <v>2429.06</v>
      </c>
      <c r="K93" s="112">
        <v>3091.51</v>
      </c>
      <c r="L93" s="112">
        <v>940.23000000000036</v>
      </c>
      <c r="M93" s="101">
        <v>509.18</v>
      </c>
      <c r="N93" s="101">
        <v>1901.0800000000002</v>
      </c>
      <c r="O93" s="101">
        <v>15751.56</v>
      </c>
      <c r="P93" s="104">
        <v>96676.640000000014</v>
      </c>
      <c r="Q93" s="105"/>
      <c r="R93" s="101"/>
    </row>
    <row r="94" spans="1:19" ht="15" customHeight="1">
      <c r="A94" s="106"/>
      <c r="B94" s="107"/>
      <c r="C94" s="113" t="s">
        <v>269</v>
      </c>
      <c r="D94" s="113"/>
      <c r="E94" s="113"/>
      <c r="F94" s="113"/>
      <c r="G94" s="114">
        <v>12418756.149999999</v>
      </c>
      <c r="H94" s="114">
        <v>7572713.0100000016</v>
      </c>
      <c r="I94" s="108">
        <v>1776497.8089999999</v>
      </c>
      <c r="J94" s="114">
        <v>294041.54000000004</v>
      </c>
      <c r="K94" s="114">
        <v>186584.06900000005</v>
      </c>
      <c r="L94" s="114">
        <v>56721.960000000006</v>
      </c>
      <c r="M94" s="114">
        <v>35951.78</v>
      </c>
      <c r="N94" s="114">
        <v>180349.8</v>
      </c>
      <c r="O94" s="114">
        <v>1022848.6599999999</v>
      </c>
      <c r="P94" s="108">
        <v>10642258.340999998</v>
      </c>
      <c r="Q94" s="109"/>
      <c r="R94" s="106"/>
    </row>
    <row r="95" spans="1:19" ht="15" customHeight="1">
      <c r="A95" s="86"/>
      <c r="B95" s="86"/>
      <c r="C95" s="86"/>
      <c r="D95" s="86"/>
      <c r="E95" s="318" t="s">
        <v>289</v>
      </c>
      <c r="F95" s="144"/>
      <c r="G95" s="92">
        <f>SUM(G7:G12,G14:G17,G19,G21:G27,G31:G37,G39:G42,G45:G51,G53:G58,G60:G66,G70,G72:G81,G84:G85,G87,G90:G92)</f>
        <v>128093.23999999999</v>
      </c>
      <c r="H95" s="320" t="s">
        <v>290</v>
      </c>
      <c r="I95" s="92">
        <f>SUM(I7:I12,I14:I17,I19,I21:I27,I31:I37,I39:I42,I45:I51,I53:I58,I60:I66,I70,I72:I81,I84:I85,I87,I90:I92)</f>
        <v>1360944.0374876715</v>
      </c>
      <c r="J95" s="91"/>
      <c r="K95" s="91"/>
      <c r="L95" s="91"/>
      <c r="M95" s="91"/>
      <c r="N95" s="86"/>
      <c r="O95" s="322" t="s">
        <v>291</v>
      </c>
      <c r="P95" s="92">
        <f>P7+P8+P9+P10+P11+P12+P14+P15+P19+P24+P25+P26+P31+P32+P35+P37+P39+P40+P41+P42+P46+P47+P48+P49+P50+P51+P60+P61+P63+P70+P72+P74+P75+P76+P77+P78+P79+P80+P81+P90+P92+P54+P55+P56+P57+P58</f>
        <v>-186434.92853520997</v>
      </c>
      <c r="Q95" s="85">
        <f>P95-P3</f>
        <v>-186434.92853520997</v>
      </c>
      <c r="R95" s="86"/>
    </row>
    <row r="96" spans="1:19">
      <c r="E96" s="319"/>
      <c r="F96" s="144"/>
      <c r="G96" s="128" t="e">
        <f>G95+'08_2021'!#REF!</f>
        <v>#REF!</v>
      </c>
      <c r="H96" s="321"/>
      <c r="I96" s="128" t="e">
        <f>I95+'08_2021'!#REF!</f>
        <v>#REF!</v>
      </c>
      <c r="O96" s="323"/>
      <c r="P96" s="128" t="e">
        <f>P95+'08_2021'!#REF!</f>
        <v>#REF!</v>
      </c>
    </row>
    <row r="97" spans="7:17" s="115" customFormat="1">
      <c r="G97" s="128"/>
      <c r="I97" s="128"/>
      <c r="P97" s="128"/>
      <c r="Q97" s="117"/>
    </row>
    <row r="98" spans="7:17" s="115" customFormat="1">
      <c r="G98" s="128"/>
      <c r="I98" s="128"/>
      <c r="P98" s="128"/>
      <c r="Q98" s="117"/>
    </row>
    <row r="99" spans="7:17">
      <c r="I99" s="128">
        <f>SUM(I10:I34,I40:I48,I51:I59,I76:I81)</f>
        <v>1146600.2875269516</v>
      </c>
      <c r="Q99" s="118" t="e">
        <f>M102+'08_2021'!#REF!</f>
        <v>#REF!</v>
      </c>
    </row>
    <row r="101" spans="7:17">
      <c r="I101" t="s">
        <v>287</v>
      </c>
      <c r="L101" t="s">
        <v>288</v>
      </c>
      <c r="M101" t="s">
        <v>292</v>
      </c>
      <c r="N101" t="s">
        <v>293</v>
      </c>
      <c r="O101" t="s">
        <v>294</v>
      </c>
    </row>
    <row r="102" spans="7:17">
      <c r="I102" s="132">
        <f>S16</f>
        <v>0</v>
      </c>
      <c r="J102" s="118">
        <f>Q16+Q33+Q34+Q65+Q91+Q17+Q69+Q71+Q82+Q83</f>
        <v>223410.08000000002</v>
      </c>
      <c r="K102" s="128">
        <f>I16+I33+I34+I65+I91+I17+I69+I71+I82+I83</f>
        <v>236339.80677967993</v>
      </c>
      <c r="L102" s="128">
        <f>S35</f>
        <v>0</v>
      </c>
      <c r="M102" s="117">
        <f>Q35+Q39+Q49+Q60+Q63+Q70+Q90+Q92</f>
        <v>300723.75500000006</v>
      </c>
      <c r="N102" s="117">
        <f>I35+I39+I49+I60+I63+I70+I90+I92</f>
        <v>323302.78676521423</v>
      </c>
      <c r="O102" s="117">
        <f>P35+P39+P49+P60+P63+P70+P90+P92</f>
        <v>-8334.7867652142286</v>
      </c>
    </row>
    <row r="103" spans="7:17">
      <c r="I103" s="132">
        <f>S64</f>
        <v>0</v>
      </c>
      <c r="J103" s="118">
        <f>Q64</f>
        <v>0</v>
      </c>
      <c r="K103" s="128">
        <f>I64</f>
        <v>0</v>
      </c>
      <c r="L103" s="128"/>
      <c r="M103" s="128"/>
      <c r="N103" s="128"/>
    </row>
    <row r="104" spans="7:17">
      <c r="I104" s="132">
        <f>S53</f>
        <v>0</v>
      </c>
      <c r="J104" s="118">
        <f>Q53+Q61+Q22</f>
        <v>58438.914439747779</v>
      </c>
      <c r="K104" s="128">
        <f>I53+I61</f>
        <v>0</v>
      </c>
      <c r="L104" s="128"/>
      <c r="M104" s="128"/>
      <c r="N104" s="128"/>
    </row>
    <row r="105" spans="7:17">
      <c r="I105">
        <f>S21</f>
        <v>0</v>
      </c>
      <c r="J105" s="118">
        <f>Q21+Q50+Q54+Q62+Q73</f>
        <v>197290.92499999999</v>
      </c>
      <c r="K105" s="128">
        <f>I21+I50+I54</f>
        <v>187035.59999999998</v>
      </c>
      <c r="L105" s="128"/>
      <c r="M105" s="128"/>
      <c r="N105" s="128"/>
    </row>
    <row r="106" spans="7:17">
      <c r="I106" t="str">
        <f>S72</f>
        <v>3.1.1.1.3</v>
      </c>
      <c r="J106" s="118">
        <f>Q72</f>
        <v>1.2E-2</v>
      </c>
      <c r="K106" s="128">
        <f>I72</f>
        <v>114603.15653730952</v>
      </c>
      <c r="L106" s="128"/>
      <c r="M106" s="128"/>
      <c r="N106" s="128"/>
    </row>
    <row r="107" spans="7:17">
      <c r="J107" s="118"/>
      <c r="K107" s="128"/>
      <c r="L107" s="128"/>
      <c r="M107" s="128"/>
      <c r="N107" s="128"/>
    </row>
    <row r="108" spans="7:17">
      <c r="J108" s="118"/>
      <c r="K108" s="128"/>
      <c r="L108" s="128"/>
      <c r="M108" s="128"/>
      <c r="N108" s="128"/>
    </row>
  </sheetData>
  <autoFilter ref="A1:S95" xr:uid="{00000000-0009-0000-0000-000002000000}"/>
  <mergeCells count="24">
    <mergeCell ref="U22:AA22"/>
    <mergeCell ref="U24:AA24"/>
    <mergeCell ref="U26:AA26"/>
    <mergeCell ref="U33:AA33"/>
    <mergeCell ref="U30:AA30"/>
    <mergeCell ref="B3:B4"/>
    <mergeCell ref="A3:A4"/>
    <mergeCell ref="Q3:Q4"/>
    <mergeCell ref="R3:S3"/>
    <mergeCell ref="E95:E96"/>
    <mergeCell ref="H95:H96"/>
    <mergeCell ref="O95:O96"/>
    <mergeCell ref="G72:G73"/>
    <mergeCell ref="H72:H73"/>
    <mergeCell ref="T3:T4"/>
    <mergeCell ref="R2:S2"/>
    <mergeCell ref="J3:N3"/>
    <mergeCell ref="C3:C4"/>
    <mergeCell ref="F3:F4"/>
    <mergeCell ref="G3:G4"/>
    <mergeCell ref="H3:H4"/>
    <mergeCell ref="I3:I4"/>
    <mergeCell ref="D3:D4"/>
    <mergeCell ref="E3:E4"/>
  </mergeCells>
  <pageMargins left="0.25" right="0.25" top="0.75" bottom="0.75" header="0.3" footer="0.3"/>
  <pageSetup paperSize="9" scale="37" fitToHeight="2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1"/>
  <sheetViews>
    <sheetView topLeftCell="A7" zoomScale="85" zoomScaleNormal="85" workbookViewId="0">
      <selection activeCell="L36" sqref="L36"/>
    </sheetView>
  </sheetViews>
  <sheetFormatPr defaultRowHeight="15" outlineLevelRow="1"/>
  <cols>
    <col min="1" max="1" width="16" customWidth="1"/>
    <col min="2" max="2" width="14" customWidth="1"/>
    <col min="3" max="7" width="16" customWidth="1"/>
    <col min="8" max="8" width="1.42578125" customWidth="1"/>
    <col min="9" max="9" width="14.5703125" customWidth="1"/>
    <col min="10" max="10" width="12.7109375" bestFit="1" customWidth="1"/>
    <col min="257" max="257" width="16" customWidth="1"/>
    <col min="258" max="258" width="14" customWidth="1"/>
    <col min="259" max="263" width="16" customWidth="1"/>
    <col min="264" max="264" width="1.42578125" customWidth="1"/>
    <col min="265" max="265" width="14.5703125" customWidth="1"/>
    <col min="266" max="266" width="12.7109375" bestFit="1" customWidth="1"/>
    <col min="513" max="513" width="16" customWidth="1"/>
    <col min="514" max="514" width="14" customWidth="1"/>
    <col min="515" max="519" width="16" customWidth="1"/>
    <col min="520" max="520" width="1.42578125" customWidth="1"/>
    <col min="521" max="521" width="14.5703125" customWidth="1"/>
    <col min="522" max="522" width="12.7109375" bestFit="1" customWidth="1"/>
    <col min="769" max="769" width="16" customWidth="1"/>
    <col min="770" max="770" width="14" customWidth="1"/>
    <col min="771" max="775" width="16" customWidth="1"/>
    <col min="776" max="776" width="1.42578125" customWidth="1"/>
    <col min="777" max="777" width="14.5703125" customWidth="1"/>
    <col min="778" max="778" width="12.7109375" bestFit="1" customWidth="1"/>
    <col min="1025" max="1025" width="16" customWidth="1"/>
    <col min="1026" max="1026" width="14" customWidth="1"/>
    <col min="1027" max="1031" width="16" customWidth="1"/>
    <col min="1032" max="1032" width="1.42578125" customWidth="1"/>
    <col min="1033" max="1033" width="14.5703125" customWidth="1"/>
    <col min="1034" max="1034" width="12.7109375" bestFit="1" customWidth="1"/>
    <col min="1281" max="1281" width="16" customWidth="1"/>
    <col min="1282" max="1282" width="14" customWidth="1"/>
    <col min="1283" max="1287" width="16" customWidth="1"/>
    <col min="1288" max="1288" width="1.42578125" customWidth="1"/>
    <col min="1289" max="1289" width="14.5703125" customWidth="1"/>
    <col min="1290" max="1290" width="12.7109375" bestFit="1" customWidth="1"/>
    <col min="1537" max="1537" width="16" customWidth="1"/>
    <col min="1538" max="1538" width="14" customWidth="1"/>
    <col min="1539" max="1543" width="16" customWidth="1"/>
    <col min="1544" max="1544" width="1.42578125" customWidth="1"/>
    <col min="1545" max="1545" width="14.5703125" customWidth="1"/>
    <col min="1546" max="1546" width="12.7109375" bestFit="1" customWidth="1"/>
    <col min="1793" max="1793" width="16" customWidth="1"/>
    <col min="1794" max="1794" width="14" customWidth="1"/>
    <col min="1795" max="1799" width="16" customWidth="1"/>
    <col min="1800" max="1800" width="1.42578125" customWidth="1"/>
    <col min="1801" max="1801" width="14.5703125" customWidth="1"/>
    <col min="1802" max="1802" width="12.7109375" bestFit="1" customWidth="1"/>
    <col min="2049" max="2049" width="16" customWidth="1"/>
    <col min="2050" max="2050" width="14" customWidth="1"/>
    <col min="2051" max="2055" width="16" customWidth="1"/>
    <col min="2056" max="2056" width="1.42578125" customWidth="1"/>
    <col min="2057" max="2057" width="14.5703125" customWidth="1"/>
    <col min="2058" max="2058" width="12.7109375" bestFit="1" customWidth="1"/>
    <col min="2305" max="2305" width="16" customWidth="1"/>
    <col min="2306" max="2306" width="14" customWidth="1"/>
    <col min="2307" max="2311" width="16" customWidth="1"/>
    <col min="2312" max="2312" width="1.42578125" customWidth="1"/>
    <col min="2313" max="2313" width="14.5703125" customWidth="1"/>
    <col min="2314" max="2314" width="12.7109375" bestFit="1" customWidth="1"/>
    <col min="2561" max="2561" width="16" customWidth="1"/>
    <col min="2562" max="2562" width="14" customWidth="1"/>
    <col min="2563" max="2567" width="16" customWidth="1"/>
    <col min="2568" max="2568" width="1.42578125" customWidth="1"/>
    <col min="2569" max="2569" width="14.5703125" customWidth="1"/>
    <col min="2570" max="2570" width="12.7109375" bestFit="1" customWidth="1"/>
    <col min="2817" max="2817" width="16" customWidth="1"/>
    <col min="2818" max="2818" width="14" customWidth="1"/>
    <col min="2819" max="2823" width="16" customWidth="1"/>
    <col min="2824" max="2824" width="1.42578125" customWidth="1"/>
    <col min="2825" max="2825" width="14.5703125" customWidth="1"/>
    <col min="2826" max="2826" width="12.7109375" bestFit="1" customWidth="1"/>
    <col min="3073" max="3073" width="16" customWidth="1"/>
    <col min="3074" max="3074" width="14" customWidth="1"/>
    <col min="3075" max="3079" width="16" customWidth="1"/>
    <col min="3080" max="3080" width="1.42578125" customWidth="1"/>
    <col min="3081" max="3081" width="14.5703125" customWidth="1"/>
    <col min="3082" max="3082" width="12.7109375" bestFit="1" customWidth="1"/>
    <col min="3329" max="3329" width="16" customWidth="1"/>
    <col min="3330" max="3330" width="14" customWidth="1"/>
    <col min="3331" max="3335" width="16" customWidth="1"/>
    <col min="3336" max="3336" width="1.42578125" customWidth="1"/>
    <col min="3337" max="3337" width="14.5703125" customWidth="1"/>
    <col min="3338" max="3338" width="12.7109375" bestFit="1" customWidth="1"/>
    <col min="3585" max="3585" width="16" customWidth="1"/>
    <col min="3586" max="3586" width="14" customWidth="1"/>
    <col min="3587" max="3591" width="16" customWidth="1"/>
    <col min="3592" max="3592" width="1.42578125" customWidth="1"/>
    <col min="3593" max="3593" width="14.5703125" customWidth="1"/>
    <col min="3594" max="3594" width="12.7109375" bestFit="1" customWidth="1"/>
    <col min="3841" max="3841" width="16" customWidth="1"/>
    <col min="3842" max="3842" width="14" customWidth="1"/>
    <col min="3843" max="3847" width="16" customWidth="1"/>
    <col min="3848" max="3848" width="1.42578125" customWidth="1"/>
    <col min="3849" max="3849" width="14.5703125" customWidth="1"/>
    <col min="3850" max="3850" width="12.7109375" bestFit="1" customWidth="1"/>
    <col min="4097" max="4097" width="16" customWidth="1"/>
    <col min="4098" max="4098" width="14" customWidth="1"/>
    <col min="4099" max="4103" width="16" customWidth="1"/>
    <col min="4104" max="4104" width="1.42578125" customWidth="1"/>
    <col min="4105" max="4105" width="14.5703125" customWidth="1"/>
    <col min="4106" max="4106" width="12.7109375" bestFit="1" customWidth="1"/>
    <col min="4353" max="4353" width="16" customWidth="1"/>
    <col min="4354" max="4354" width="14" customWidth="1"/>
    <col min="4355" max="4359" width="16" customWidth="1"/>
    <col min="4360" max="4360" width="1.42578125" customWidth="1"/>
    <col min="4361" max="4361" width="14.5703125" customWidth="1"/>
    <col min="4362" max="4362" width="12.7109375" bestFit="1" customWidth="1"/>
    <col min="4609" max="4609" width="16" customWidth="1"/>
    <col min="4610" max="4610" width="14" customWidth="1"/>
    <col min="4611" max="4615" width="16" customWidth="1"/>
    <col min="4616" max="4616" width="1.42578125" customWidth="1"/>
    <col min="4617" max="4617" width="14.5703125" customWidth="1"/>
    <col min="4618" max="4618" width="12.7109375" bestFit="1" customWidth="1"/>
    <col min="4865" max="4865" width="16" customWidth="1"/>
    <col min="4866" max="4866" width="14" customWidth="1"/>
    <col min="4867" max="4871" width="16" customWidth="1"/>
    <col min="4872" max="4872" width="1.42578125" customWidth="1"/>
    <col min="4873" max="4873" width="14.5703125" customWidth="1"/>
    <col min="4874" max="4874" width="12.7109375" bestFit="1" customWidth="1"/>
    <col min="5121" max="5121" width="16" customWidth="1"/>
    <col min="5122" max="5122" width="14" customWidth="1"/>
    <col min="5123" max="5127" width="16" customWidth="1"/>
    <col min="5128" max="5128" width="1.42578125" customWidth="1"/>
    <col min="5129" max="5129" width="14.5703125" customWidth="1"/>
    <col min="5130" max="5130" width="12.7109375" bestFit="1" customWidth="1"/>
    <col min="5377" max="5377" width="16" customWidth="1"/>
    <col min="5378" max="5378" width="14" customWidth="1"/>
    <col min="5379" max="5383" width="16" customWidth="1"/>
    <col min="5384" max="5384" width="1.42578125" customWidth="1"/>
    <col min="5385" max="5385" width="14.5703125" customWidth="1"/>
    <col min="5386" max="5386" width="12.7109375" bestFit="1" customWidth="1"/>
    <col min="5633" max="5633" width="16" customWidth="1"/>
    <col min="5634" max="5634" width="14" customWidth="1"/>
    <col min="5635" max="5639" width="16" customWidth="1"/>
    <col min="5640" max="5640" width="1.42578125" customWidth="1"/>
    <col min="5641" max="5641" width="14.5703125" customWidth="1"/>
    <col min="5642" max="5642" width="12.7109375" bestFit="1" customWidth="1"/>
    <col min="5889" max="5889" width="16" customWidth="1"/>
    <col min="5890" max="5890" width="14" customWidth="1"/>
    <col min="5891" max="5895" width="16" customWidth="1"/>
    <col min="5896" max="5896" width="1.42578125" customWidth="1"/>
    <col min="5897" max="5897" width="14.5703125" customWidth="1"/>
    <col min="5898" max="5898" width="12.7109375" bestFit="1" customWidth="1"/>
    <col min="6145" max="6145" width="16" customWidth="1"/>
    <col min="6146" max="6146" width="14" customWidth="1"/>
    <col min="6147" max="6151" width="16" customWidth="1"/>
    <col min="6152" max="6152" width="1.42578125" customWidth="1"/>
    <col min="6153" max="6153" width="14.5703125" customWidth="1"/>
    <col min="6154" max="6154" width="12.7109375" bestFit="1" customWidth="1"/>
    <col min="6401" max="6401" width="16" customWidth="1"/>
    <col min="6402" max="6402" width="14" customWidth="1"/>
    <col min="6403" max="6407" width="16" customWidth="1"/>
    <col min="6408" max="6408" width="1.42578125" customWidth="1"/>
    <col min="6409" max="6409" width="14.5703125" customWidth="1"/>
    <col min="6410" max="6410" width="12.7109375" bestFit="1" customWidth="1"/>
    <col min="6657" max="6657" width="16" customWidth="1"/>
    <col min="6658" max="6658" width="14" customWidth="1"/>
    <col min="6659" max="6663" width="16" customWidth="1"/>
    <col min="6664" max="6664" width="1.42578125" customWidth="1"/>
    <col min="6665" max="6665" width="14.5703125" customWidth="1"/>
    <col min="6666" max="6666" width="12.7109375" bestFit="1" customWidth="1"/>
    <col min="6913" max="6913" width="16" customWidth="1"/>
    <col min="6914" max="6914" width="14" customWidth="1"/>
    <col min="6915" max="6919" width="16" customWidth="1"/>
    <col min="6920" max="6920" width="1.42578125" customWidth="1"/>
    <col min="6921" max="6921" width="14.5703125" customWidth="1"/>
    <col min="6922" max="6922" width="12.7109375" bestFit="1" customWidth="1"/>
    <col min="7169" max="7169" width="16" customWidth="1"/>
    <col min="7170" max="7170" width="14" customWidth="1"/>
    <col min="7171" max="7175" width="16" customWidth="1"/>
    <col min="7176" max="7176" width="1.42578125" customWidth="1"/>
    <col min="7177" max="7177" width="14.5703125" customWidth="1"/>
    <col min="7178" max="7178" width="12.7109375" bestFit="1" customWidth="1"/>
    <col min="7425" max="7425" width="16" customWidth="1"/>
    <col min="7426" max="7426" width="14" customWidth="1"/>
    <col min="7427" max="7431" width="16" customWidth="1"/>
    <col min="7432" max="7432" width="1.42578125" customWidth="1"/>
    <col min="7433" max="7433" width="14.5703125" customWidth="1"/>
    <col min="7434" max="7434" width="12.7109375" bestFit="1" customWidth="1"/>
    <col min="7681" max="7681" width="16" customWidth="1"/>
    <col min="7682" max="7682" width="14" customWidth="1"/>
    <col min="7683" max="7687" width="16" customWidth="1"/>
    <col min="7688" max="7688" width="1.42578125" customWidth="1"/>
    <col min="7689" max="7689" width="14.5703125" customWidth="1"/>
    <col min="7690" max="7690" width="12.7109375" bestFit="1" customWidth="1"/>
    <col min="7937" max="7937" width="16" customWidth="1"/>
    <col min="7938" max="7938" width="14" customWidth="1"/>
    <col min="7939" max="7943" width="16" customWidth="1"/>
    <col min="7944" max="7944" width="1.42578125" customWidth="1"/>
    <col min="7945" max="7945" width="14.5703125" customWidth="1"/>
    <col min="7946" max="7946" width="12.7109375" bestFit="1" customWidth="1"/>
    <col min="8193" max="8193" width="16" customWidth="1"/>
    <col min="8194" max="8194" width="14" customWidth="1"/>
    <col min="8195" max="8199" width="16" customWidth="1"/>
    <col min="8200" max="8200" width="1.42578125" customWidth="1"/>
    <col min="8201" max="8201" width="14.5703125" customWidth="1"/>
    <col min="8202" max="8202" width="12.7109375" bestFit="1" customWidth="1"/>
    <col min="8449" max="8449" width="16" customWidth="1"/>
    <col min="8450" max="8450" width="14" customWidth="1"/>
    <col min="8451" max="8455" width="16" customWidth="1"/>
    <col min="8456" max="8456" width="1.42578125" customWidth="1"/>
    <col min="8457" max="8457" width="14.5703125" customWidth="1"/>
    <col min="8458" max="8458" width="12.7109375" bestFit="1" customWidth="1"/>
    <col min="8705" max="8705" width="16" customWidth="1"/>
    <col min="8706" max="8706" width="14" customWidth="1"/>
    <col min="8707" max="8711" width="16" customWidth="1"/>
    <col min="8712" max="8712" width="1.42578125" customWidth="1"/>
    <col min="8713" max="8713" width="14.5703125" customWidth="1"/>
    <col min="8714" max="8714" width="12.7109375" bestFit="1" customWidth="1"/>
    <col min="8961" max="8961" width="16" customWidth="1"/>
    <col min="8962" max="8962" width="14" customWidth="1"/>
    <col min="8963" max="8967" width="16" customWidth="1"/>
    <col min="8968" max="8968" width="1.42578125" customWidth="1"/>
    <col min="8969" max="8969" width="14.5703125" customWidth="1"/>
    <col min="8970" max="8970" width="12.7109375" bestFit="1" customWidth="1"/>
    <col min="9217" max="9217" width="16" customWidth="1"/>
    <col min="9218" max="9218" width="14" customWidth="1"/>
    <col min="9219" max="9223" width="16" customWidth="1"/>
    <col min="9224" max="9224" width="1.42578125" customWidth="1"/>
    <col min="9225" max="9225" width="14.5703125" customWidth="1"/>
    <col min="9226" max="9226" width="12.7109375" bestFit="1" customWidth="1"/>
    <col min="9473" max="9473" width="16" customWidth="1"/>
    <col min="9474" max="9474" width="14" customWidth="1"/>
    <col min="9475" max="9479" width="16" customWidth="1"/>
    <col min="9480" max="9480" width="1.42578125" customWidth="1"/>
    <col min="9481" max="9481" width="14.5703125" customWidth="1"/>
    <col min="9482" max="9482" width="12.7109375" bestFit="1" customWidth="1"/>
    <col min="9729" max="9729" width="16" customWidth="1"/>
    <col min="9730" max="9730" width="14" customWidth="1"/>
    <col min="9731" max="9735" width="16" customWidth="1"/>
    <col min="9736" max="9736" width="1.42578125" customWidth="1"/>
    <col min="9737" max="9737" width="14.5703125" customWidth="1"/>
    <col min="9738" max="9738" width="12.7109375" bestFit="1" customWidth="1"/>
    <col min="9985" max="9985" width="16" customWidth="1"/>
    <col min="9986" max="9986" width="14" customWidth="1"/>
    <col min="9987" max="9991" width="16" customWidth="1"/>
    <col min="9992" max="9992" width="1.42578125" customWidth="1"/>
    <col min="9993" max="9993" width="14.5703125" customWidth="1"/>
    <col min="9994" max="9994" width="12.7109375" bestFit="1" customWidth="1"/>
    <col min="10241" max="10241" width="16" customWidth="1"/>
    <col min="10242" max="10242" width="14" customWidth="1"/>
    <col min="10243" max="10247" width="16" customWidth="1"/>
    <col min="10248" max="10248" width="1.42578125" customWidth="1"/>
    <col min="10249" max="10249" width="14.5703125" customWidth="1"/>
    <col min="10250" max="10250" width="12.7109375" bestFit="1" customWidth="1"/>
    <col min="10497" max="10497" width="16" customWidth="1"/>
    <col min="10498" max="10498" width="14" customWidth="1"/>
    <col min="10499" max="10503" width="16" customWidth="1"/>
    <col min="10504" max="10504" width="1.42578125" customWidth="1"/>
    <col min="10505" max="10505" width="14.5703125" customWidth="1"/>
    <col min="10506" max="10506" width="12.7109375" bestFit="1" customWidth="1"/>
    <col min="10753" max="10753" width="16" customWidth="1"/>
    <col min="10754" max="10754" width="14" customWidth="1"/>
    <col min="10755" max="10759" width="16" customWidth="1"/>
    <col min="10760" max="10760" width="1.42578125" customWidth="1"/>
    <col min="10761" max="10761" width="14.5703125" customWidth="1"/>
    <col min="10762" max="10762" width="12.7109375" bestFit="1" customWidth="1"/>
    <col min="11009" max="11009" width="16" customWidth="1"/>
    <col min="11010" max="11010" width="14" customWidth="1"/>
    <col min="11011" max="11015" width="16" customWidth="1"/>
    <col min="11016" max="11016" width="1.42578125" customWidth="1"/>
    <col min="11017" max="11017" width="14.5703125" customWidth="1"/>
    <col min="11018" max="11018" width="12.7109375" bestFit="1" customWidth="1"/>
    <col min="11265" max="11265" width="16" customWidth="1"/>
    <col min="11266" max="11266" width="14" customWidth="1"/>
    <col min="11267" max="11271" width="16" customWidth="1"/>
    <col min="11272" max="11272" width="1.42578125" customWidth="1"/>
    <col min="11273" max="11273" width="14.5703125" customWidth="1"/>
    <col min="11274" max="11274" width="12.7109375" bestFit="1" customWidth="1"/>
    <col min="11521" max="11521" width="16" customWidth="1"/>
    <col min="11522" max="11522" width="14" customWidth="1"/>
    <col min="11523" max="11527" width="16" customWidth="1"/>
    <col min="11528" max="11528" width="1.42578125" customWidth="1"/>
    <col min="11529" max="11529" width="14.5703125" customWidth="1"/>
    <col min="11530" max="11530" width="12.7109375" bestFit="1" customWidth="1"/>
    <col min="11777" max="11777" width="16" customWidth="1"/>
    <col min="11778" max="11778" width="14" customWidth="1"/>
    <col min="11779" max="11783" width="16" customWidth="1"/>
    <col min="11784" max="11784" width="1.42578125" customWidth="1"/>
    <col min="11785" max="11785" width="14.5703125" customWidth="1"/>
    <col min="11786" max="11786" width="12.7109375" bestFit="1" customWidth="1"/>
    <col min="12033" max="12033" width="16" customWidth="1"/>
    <col min="12034" max="12034" width="14" customWidth="1"/>
    <col min="12035" max="12039" width="16" customWidth="1"/>
    <col min="12040" max="12040" width="1.42578125" customWidth="1"/>
    <col min="12041" max="12041" width="14.5703125" customWidth="1"/>
    <col min="12042" max="12042" width="12.7109375" bestFit="1" customWidth="1"/>
    <col min="12289" max="12289" width="16" customWidth="1"/>
    <col min="12290" max="12290" width="14" customWidth="1"/>
    <col min="12291" max="12295" width="16" customWidth="1"/>
    <col min="12296" max="12296" width="1.42578125" customWidth="1"/>
    <col min="12297" max="12297" width="14.5703125" customWidth="1"/>
    <col min="12298" max="12298" width="12.7109375" bestFit="1" customWidth="1"/>
    <col min="12545" max="12545" width="16" customWidth="1"/>
    <col min="12546" max="12546" width="14" customWidth="1"/>
    <col min="12547" max="12551" width="16" customWidth="1"/>
    <col min="12552" max="12552" width="1.42578125" customWidth="1"/>
    <col min="12553" max="12553" width="14.5703125" customWidth="1"/>
    <col min="12554" max="12554" width="12.7109375" bestFit="1" customWidth="1"/>
    <col min="12801" max="12801" width="16" customWidth="1"/>
    <col min="12802" max="12802" width="14" customWidth="1"/>
    <col min="12803" max="12807" width="16" customWidth="1"/>
    <col min="12808" max="12808" width="1.42578125" customWidth="1"/>
    <col min="12809" max="12809" width="14.5703125" customWidth="1"/>
    <col min="12810" max="12810" width="12.7109375" bestFit="1" customWidth="1"/>
    <col min="13057" max="13057" width="16" customWidth="1"/>
    <col min="13058" max="13058" width="14" customWidth="1"/>
    <col min="13059" max="13063" width="16" customWidth="1"/>
    <col min="13064" max="13064" width="1.42578125" customWidth="1"/>
    <col min="13065" max="13065" width="14.5703125" customWidth="1"/>
    <col min="13066" max="13066" width="12.7109375" bestFit="1" customWidth="1"/>
    <col min="13313" max="13313" width="16" customWidth="1"/>
    <col min="13314" max="13314" width="14" customWidth="1"/>
    <col min="13315" max="13319" width="16" customWidth="1"/>
    <col min="13320" max="13320" width="1.42578125" customWidth="1"/>
    <col min="13321" max="13321" width="14.5703125" customWidth="1"/>
    <col min="13322" max="13322" width="12.7109375" bestFit="1" customWidth="1"/>
    <col min="13569" max="13569" width="16" customWidth="1"/>
    <col min="13570" max="13570" width="14" customWidth="1"/>
    <col min="13571" max="13575" width="16" customWidth="1"/>
    <col min="13576" max="13576" width="1.42578125" customWidth="1"/>
    <col min="13577" max="13577" width="14.5703125" customWidth="1"/>
    <col min="13578" max="13578" width="12.7109375" bestFit="1" customWidth="1"/>
    <col min="13825" max="13825" width="16" customWidth="1"/>
    <col min="13826" max="13826" width="14" customWidth="1"/>
    <col min="13827" max="13831" width="16" customWidth="1"/>
    <col min="13832" max="13832" width="1.42578125" customWidth="1"/>
    <col min="13833" max="13833" width="14.5703125" customWidth="1"/>
    <col min="13834" max="13834" width="12.7109375" bestFit="1" customWidth="1"/>
    <col min="14081" max="14081" width="16" customWidth="1"/>
    <col min="14082" max="14082" width="14" customWidth="1"/>
    <col min="14083" max="14087" width="16" customWidth="1"/>
    <col min="14088" max="14088" width="1.42578125" customWidth="1"/>
    <col min="14089" max="14089" width="14.5703125" customWidth="1"/>
    <col min="14090" max="14090" width="12.7109375" bestFit="1" customWidth="1"/>
    <col min="14337" max="14337" width="16" customWidth="1"/>
    <col min="14338" max="14338" width="14" customWidth="1"/>
    <col min="14339" max="14343" width="16" customWidth="1"/>
    <col min="14344" max="14344" width="1.42578125" customWidth="1"/>
    <col min="14345" max="14345" width="14.5703125" customWidth="1"/>
    <col min="14346" max="14346" width="12.7109375" bestFit="1" customWidth="1"/>
    <col min="14593" max="14593" width="16" customWidth="1"/>
    <col min="14594" max="14594" width="14" customWidth="1"/>
    <col min="14595" max="14599" width="16" customWidth="1"/>
    <col min="14600" max="14600" width="1.42578125" customWidth="1"/>
    <col min="14601" max="14601" width="14.5703125" customWidth="1"/>
    <col min="14602" max="14602" width="12.7109375" bestFit="1" customWidth="1"/>
    <col min="14849" max="14849" width="16" customWidth="1"/>
    <col min="14850" max="14850" width="14" customWidth="1"/>
    <col min="14851" max="14855" width="16" customWidth="1"/>
    <col min="14856" max="14856" width="1.42578125" customWidth="1"/>
    <col min="14857" max="14857" width="14.5703125" customWidth="1"/>
    <col min="14858" max="14858" width="12.7109375" bestFit="1" customWidth="1"/>
    <col min="15105" max="15105" width="16" customWidth="1"/>
    <col min="15106" max="15106" width="14" customWidth="1"/>
    <col min="15107" max="15111" width="16" customWidth="1"/>
    <col min="15112" max="15112" width="1.42578125" customWidth="1"/>
    <col min="15113" max="15113" width="14.5703125" customWidth="1"/>
    <col min="15114" max="15114" width="12.7109375" bestFit="1" customWidth="1"/>
    <col min="15361" max="15361" width="16" customWidth="1"/>
    <col min="15362" max="15362" width="14" customWidth="1"/>
    <col min="15363" max="15367" width="16" customWidth="1"/>
    <col min="15368" max="15368" width="1.42578125" customWidth="1"/>
    <col min="15369" max="15369" width="14.5703125" customWidth="1"/>
    <col min="15370" max="15370" width="12.7109375" bestFit="1" customWidth="1"/>
    <col min="15617" max="15617" width="16" customWidth="1"/>
    <col min="15618" max="15618" width="14" customWidth="1"/>
    <col min="15619" max="15623" width="16" customWidth="1"/>
    <col min="15624" max="15624" width="1.42578125" customWidth="1"/>
    <col min="15625" max="15625" width="14.5703125" customWidth="1"/>
    <col min="15626" max="15626" width="12.7109375" bestFit="1" customWidth="1"/>
    <col min="15873" max="15873" width="16" customWidth="1"/>
    <col min="15874" max="15874" width="14" customWidth="1"/>
    <col min="15875" max="15879" width="16" customWidth="1"/>
    <col min="15880" max="15880" width="1.42578125" customWidth="1"/>
    <col min="15881" max="15881" width="14.5703125" customWidth="1"/>
    <col min="15882" max="15882" width="12.7109375" bestFit="1" customWidth="1"/>
    <col min="16129" max="16129" width="16" customWidth="1"/>
    <col min="16130" max="16130" width="14" customWidth="1"/>
    <col min="16131" max="16135" width="16" customWidth="1"/>
    <col min="16136" max="16136" width="1.42578125" customWidth="1"/>
    <col min="16137" max="16137" width="14.5703125" customWidth="1"/>
    <col min="16138" max="16138" width="12.7109375" bestFit="1" customWidth="1"/>
  </cols>
  <sheetData>
    <row r="1" spans="1:16" ht="12.75" customHeight="1">
      <c r="A1" s="328" t="s">
        <v>158</v>
      </c>
      <c r="B1" s="328"/>
      <c r="C1" s="328"/>
      <c r="D1" s="328"/>
      <c r="E1" s="328"/>
      <c r="F1" s="328"/>
      <c r="G1" s="328"/>
      <c r="H1" s="328"/>
    </row>
    <row r="2" spans="1:16" ht="15.75" customHeight="1">
      <c r="A2" s="329" t="s">
        <v>159</v>
      </c>
      <c r="B2" s="329"/>
      <c r="C2" s="329"/>
      <c r="D2" s="329"/>
      <c r="E2" s="329"/>
      <c r="F2" s="329"/>
      <c r="G2" s="329"/>
      <c r="H2" s="329"/>
    </row>
    <row r="3" spans="1:16" ht="2.1" customHeight="1"/>
    <row r="4" spans="1:16" ht="11.25" customHeight="1">
      <c r="A4" s="68" t="s">
        <v>160</v>
      </c>
      <c r="B4" s="330" t="s">
        <v>161</v>
      </c>
      <c r="C4" s="330"/>
      <c r="D4" s="330"/>
      <c r="E4" s="330"/>
      <c r="F4" s="330"/>
      <c r="G4" s="330"/>
      <c r="H4" s="330"/>
    </row>
    <row r="5" spans="1:16" ht="2.1" customHeight="1"/>
    <row r="6" spans="1:16" ht="11.25" customHeight="1">
      <c r="A6" s="68" t="s">
        <v>162</v>
      </c>
      <c r="B6" s="330" t="s">
        <v>163</v>
      </c>
      <c r="C6" s="330"/>
      <c r="D6" s="330"/>
      <c r="E6" s="330"/>
      <c r="F6" s="330"/>
      <c r="G6" s="330"/>
      <c r="H6" s="330"/>
    </row>
    <row r="7" spans="1:16" ht="2.1" customHeight="1"/>
    <row r="8" spans="1:16" ht="12.75" customHeight="1">
      <c r="A8" s="331" t="s">
        <v>164</v>
      </c>
      <c r="B8" s="331"/>
      <c r="C8" s="332" t="s">
        <v>165</v>
      </c>
      <c r="D8" s="332"/>
      <c r="E8" s="332" t="s">
        <v>166</v>
      </c>
      <c r="F8" s="332"/>
      <c r="G8" s="332" t="s">
        <v>167</v>
      </c>
      <c r="H8" s="332"/>
      <c r="I8" s="332"/>
    </row>
    <row r="9" spans="1:16" ht="11.25" customHeight="1">
      <c r="A9" s="334" t="s">
        <v>168</v>
      </c>
      <c r="B9" s="334"/>
      <c r="C9" s="337" t="s">
        <v>169</v>
      </c>
      <c r="D9" s="337" t="s">
        <v>170</v>
      </c>
      <c r="E9" s="337" t="s">
        <v>169</v>
      </c>
      <c r="F9" s="337" t="s">
        <v>170</v>
      </c>
      <c r="G9" s="337" t="s">
        <v>169</v>
      </c>
      <c r="H9" s="337" t="s">
        <v>170</v>
      </c>
      <c r="I9" s="337"/>
    </row>
    <row r="10" spans="1:16" ht="11.25" customHeight="1">
      <c r="A10" s="335"/>
      <c r="B10" s="336"/>
      <c r="C10" s="338"/>
      <c r="D10" s="338"/>
      <c r="E10" s="338"/>
      <c r="F10" s="338"/>
      <c r="G10" s="338"/>
      <c r="H10" s="339"/>
      <c r="I10" s="340"/>
    </row>
    <row r="11" spans="1:16" ht="12.75" customHeight="1">
      <c r="A11" s="341" t="s">
        <v>171</v>
      </c>
      <c r="B11" s="341"/>
      <c r="C11" s="69"/>
      <c r="D11" s="69"/>
      <c r="E11" s="70">
        <v>1292365.6399999999</v>
      </c>
      <c r="F11" s="70">
        <v>1292365.6399999999</v>
      </c>
      <c r="G11" s="69"/>
      <c r="H11" s="71"/>
      <c r="I11" s="72"/>
    </row>
    <row r="12" spans="1:16" ht="12" customHeight="1" outlineLevel="1">
      <c r="A12" s="333" t="s">
        <v>172</v>
      </c>
      <c r="B12" s="333"/>
      <c r="C12" s="73"/>
      <c r="D12" s="73"/>
      <c r="E12" s="73"/>
      <c r="F12" s="74">
        <v>1292365.6399999999</v>
      </c>
      <c r="G12" s="73"/>
      <c r="H12" s="75"/>
      <c r="I12" s="76"/>
      <c r="J12" s="26">
        <f>F12+'[10]Расходы по 08_льготное ТП'!G72</f>
        <v>12151944.479999999</v>
      </c>
      <c r="L12" t="s">
        <v>173</v>
      </c>
    </row>
    <row r="13" spans="1:16" ht="28.5" customHeight="1" outlineLevel="1">
      <c r="A13" s="333" t="s">
        <v>174</v>
      </c>
      <c r="B13" s="333"/>
      <c r="C13" s="73"/>
      <c r="D13" s="73"/>
      <c r="E13" s="77">
        <v>133.6</v>
      </c>
      <c r="F13" s="73"/>
      <c r="G13" s="73"/>
      <c r="H13" s="75"/>
      <c r="I13" s="76"/>
      <c r="J13">
        <f>J12/1000-'[10]Приложение № 3'!C14</f>
        <v>-39.302779999999984</v>
      </c>
      <c r="L13">
        <v>168</v>
      </c>
      <c r="M13" t="s">
        <v>175</v>
      </c>
      <c r="O13" s="26">
        <f>'до 15 кВт_2021 '!$H$39+'до 15 кВт_2021 '!$H$36</f>
        <v>7921.1863987684528</v>
      </c>
    </row>
    <row r="14" spans="1:16" ht="12" customHeight="1" outlineLevel="1">
      <c r="A14" s="333" t="s">
        <v>176</v>
      </c>
      <c r="B14" s="333"/>
      <c r="C14" s="73"/>
      <c r="D14" s="73"/>
      <c r="E14" s="74">
        <v>19679.13</v>
      </c>
      <c r="F14" s="73"/>
      <c r="G14" s="73"/>
      <c r="H14" s="75"/>
      <c r="I14" s="76"/>
      <c r="L14">
        <v>41</v>
      </c>
      <c r="M14" t="s">
        <v>177</v>
      </c>
      <c r="O14" s="26">
        <f>'до 150 кВт_2021'!$H$34</f>
        <v>11856.808980000002</v>
      </c>
    </row>
    <row r="15" spans="1:16" ht="12" customHeight="1" outlineLevel="1">
      <c r="A15" s="333" t="s">
        <v>178</v>
      </c>
      <c r="B15" s="333"/>
      <c r="C15" s="73"/>
      <c r="D15" s="73"/>
      <c r="E15" s="77">
        <v>109.57</v>
      </c>
      <c r="F15" s="73"/>
      <c r="G15" s="73"/>
      <c r="H15" s="75"/>
      <c r="I15" s="76"/>
      <c r="L15">
        <v>53</v>
      </c>
      <c r="M15" t="s">
        <v>179</v>
      </c>
      <c r="O15">
        <f>L15*('[10]Приложение №4 2019'!C15+'[10]Приложение №4 2019'!C17)/1000</f>
        <v>763.85825999999997</v>
      </c>
    </row>
    <row r="16" spans="1:16" ht="12" customHeight="1" outlineLevel="1">
      <c r="A16" s="333" t="s">
        <v>180</v>
      </c>
      <c r="B16" s="333"/>
      <c r="C16" s="73"/>
      <c r="D16" s="73"/>
      <c r="E16" s="77">
        <v>619.19000000000005</v>
      </c>
      <c r="F16" s="73"/>
      <c r="G16" s="73"/>
      <c r="H16" s="75"/>
      <c r="I16" s="76"/>
      <c r="O16" s="78">
        <f>SUM(O13:O15)</f>
        <v>20541.853638768454</v>
      </c>
      <c r="P16" s="26">
        <f>O16-'[10]Приложение № 3'!C14</f>
        <v>8350.6063787684561</v>
      </c>
    </row>
    <row r="17" spans="1:15" ht="12" customHeight="1" outlineLevel="1">
      <c r="A17" s="333" t="s">
        <v>181</v>
      </c>
      <c r="B17" s="333"/>
      <c r="C17" s="73"/>
      <c r="D17" s="73"/>
      <c r="E17" s="77">
        <v>263.41000000000003</v>
      </c>
      <c r="F17" s="73"/>
      <c r="G17" s="73"/>
      <c r="H17" s="75"/>
      <c r="I17" s="76"/>
      <c r="O17">
        <f>J12/1000-O16</f>
        <v>-8389.9091587684561</v>
      </c>
    </row>
    <row r="18" spans="1:15" ht="12" customHeight="1" outlineLevel="1">
      <c r="A18" s="333" t="s">
        <v>182</v>
      </c>
      <c r="B18" s="333"/>
      <c r="C18" s="73"/>
      <c r="D18" s="73"/>
      <c r="E18" s="77">
        <v>4.6100000000000003</v>
      </c>
      <c r="F18" s="73"/>
      <c r="G18" s="73"/>
      <c r="H18" s="75"/>
      <c r="I18" s="76"/>
    </row>
    <row r="19" spans="1:15" ht="23.25" customHeight="1" outlineLevel="1">
      <c r="A19" s="333" t="s">
        <v>183</v>
      </c>
      <c r="B19" s="333"/>
      <c r="C19" s="73"/>
      <c r="D19" s="73"/>
      <c r="E19" s="74">
        <v>5635.15</v>
      </c>
      <c r="F19" s="73"/>
      <c r="G19" s="73"/>
      <c r="H19" s="75"/>
      <c r="I19" s="76"/>
    </row>
    <row r="20" spans="1:15" ht="23.25" customHeight="1" outlineLevel="1">
      <c r="A20" s="333" t="s">
        <v>184</v>
      </c>
      <c r="B20" s="333"/>
      <c r="C20" s="73"/>
      <c r="D20" s="73"/>
      <c r="E20" s="77">
        <v>158.19</v>
      </c>
      <c r="F20" s="73"/>
      <c r="G20" s="73"/>
      <c r="H20" s="75"/>
      <c r="I20" s="76"/>
    </row>
    <row r="21" spans="1:15" ht="12" customHeight="1" outlineLevel="1">
      <c r="A21" s="333" t="s">
        <v>185</v>
      </c>
      <c r="B21" s="333"/>
      <c r="C21" s="73"/>
      <c r="D21" s="73"/>
      <c r="E21" s="74">
        <v>6121.27</v>
      </c>
      <c r="F21" s="73"/>
      <c r="G21" s="73"/>
      <c r="H21" s="75"/>
      <c r="I21" s="76"/>
    </row>
    <row r="22" spans="1:15" ht="12" customHeight="1" outlineLevel="1">
      <c r="A22" s="333" t="s">
        <v>186</v>
      </c>
      <c r="B22" s="333"/>
      <c r="C22" s="73"/>
      <c r="D22" s="73"/>
      <c r="E22" s="74">
        <v>1651.15</v>
      </c>
      <c r="F22" s="73"/>
      <c r="G22" s="73"/>
      <c r="H22" s="75"/>
      <c r="I22" s="76"/>
    </row>
    <row r="23" spans="1:15" ht="12" customHeight="1" outlineLevel="1">
      <c r="A23" s="333" t="s">
        <v>187</v>
      </c>
      <c r="B23" s="333"/>
      <c r="C23" s="73"/>
      <c r="D23" s="73"/>
      <c r="E23" s="74">
        <v>58056.9</v>
      </c>
      <c r="F23" s="73"/>
      <c r="G23" s="73"/>
      <c r="H23" s="75"/>
      <c r="I23" s="76"/>
    </row>
    <row r="24" spans="1:15" ht="23.25" customHeight="1" outlineLevel="1">
      <c r="A24" s="333" t="s">
        <v>188</v>
      </c>
      <c r="B24" s="333"/>
      <c r="C24" s="73"/>
      <c r="D24" s="73"/>
      <c r="E24" s="74">
        <v>3847.39</v>
      </c>
      <c r="F24" s="73"/>
      <c r="G24" s="73"/>
      <c r="H24" s="75"/>
      <c r="I24" s="76"/>
    </row>
    <row r="25" spans="1:15" ht="12" customHeight="1" outlineLevel="1">
      <c r="A25" s="333" t="s">
        <v>189</v>
      </c>
      <c r="B25" s="333"/>
      <c r="C25" s="73"/>
      <c r="D25" s="73"/>
      <c r="E25" s="79">
        <v>-9691.8700000000008</v>
      </c>
      <c r="F25" s="73"/>
      <c r="G25" s="73"/>
      <c r="H25" s="75"/>
      <c r="I25" s="76"/>
    </row>
    <row r="26" spans="1:15" ht="12" customHeight="1" outlineLevel="1">
      <c r="A26" s="333" t="s">
        <v>190</v>
      </c>
      <c r="B26" s="333"/>
      <c r="C26" s="73"/>
      <c r="D26" s="73"/>
      <c r="E26" s="77">
        <v>17.41</v>
      </c>
      <c r="F26" s="73"/>
      <c r="G26" s="73"/>
      <c r="H26" s="75"/>
      <c r="I26" s="76"/>
    </row>
    <row r="27" spans="1:15" ht="12" customHeight="1" outlineLevel="1">
      <c r="A27" s="333" t="s">
        <v>191</v>
      </c>
      <c r="B27" s="333"/>
      <c r="C27" s="73"/>
      <c r="D27" s="73"/>
      <c r="E27" s="77">
        <v>850.96</v>
      </c>
      <c r="F27" s="73"/>
      <c r="G27" s="73"/>
      <c r="H27" s="75"/>
      <c r="I27" s="76"/>
    </row>
    <row r="28" spans="1:15" ht="12" customHeight="1" outlineLevel="1">
      <c r="A28" s="333" t="s">
        <v>192</v>
      </c>
      <c r="B28" s="333"/>
      <c r="C28" s="73"/>
      <c r="D28" s="73"/>
      <c r="E28" s="74">
        <v>2658.22</v>
      </c>
      <c r="F28" s="73"/>
      <c r="G28" s="73"/>
      <c r="H28" s="75"/>
      <c r="I28" s="76"/>
    </row>
    <row r="29" spans="1:15" ht="12" customHeight="1" outlineLevel="1">
      <c r="A29" s="333" t="s">
        <v>193</v>
      </c>
      <c r="B29" s="333"/>
      <c r="C29" s="73"/>
      <c r="D29" s="73"/>
      <c r="E29" s="74">
        <v>2419.62</v>
      </c>
      <c r="F29" s="73"/>
      <c r="G29" s="73"/>
      <c r="H29" s="75"/>
      <c r="I29" s="76"/>
    </row>
    <row r="30" spans="1:15" ht="12" customHeight="1" outlineLevel="1">
      <c r="A30" s="333" t="s">
        <v>194</v>
      </c>
      <c r="B30" s="333"/>
      <c r="C30" s="73"/>
      <c r="D30" s="73"/>
      <c r="E30" s="77">
        <v>613.74</v>
      </c>
      <c r="F30" s="73"/>
      <c r="G30" s="73"/>
      <c r="H30" s="75"/>
      <c r="I30" s="76"/>
    </row>
    <row r="31" spans="1:15" ht="23.25" customHeight="1" outlineLevel="1">
      <c r="A31" s="333" t="s">
        <v>195</v>
      </c>
      <c r="B31" s="333"/>
      <c r="C31" s="73"/>
      <c r="D31" s="73"/>
      <c r="E31" s="77">
        <v>870.38</v>
      </c>
      <c r="F31" s="73"/>
      <c r="G31" s="73"/>
      <c r="H31" s="75"/>
      <c r="I31" s="76"/>
    </row>
    <row r="32" spans="1:15" ht="23.25" customHeight="1" outlineLevel="1">
      <c r="A32" s="333" t="s">
        <v>196</v>
      </c>
      <c r="B32" s="333"/>
      <c r="C32" s="73"/>
      <c r="D32" s="73"/>
      <c r="E32" s="74">
        <v>6979.51</v>
      </c>
      <c r="F32" s="73"/>
      <c r="G32" s="73"/>
      <c r="H32" s="75"/>
      <c r="I32" s="76"/>
    </row>
    <row r="33" spans="1:9" ht="12" customHeight="1" outlineLevel="1">
      <c r="A33" s="333" t="s">
        <v>197</v>
      </c>
      <c r="B33" s="333"/>
      <c r="C33" s="73"/>
      <c r="D33" s="73"/>
      <c r="E33" s="77">
        <v>673.99</v>
      </c>
      <c r="F33" s="73"/>
      <c r="G33" s="73"/>
      <c r="H33" s="75"/>
      <c r="I33" s="76"/>
    </row>
    <row r="34" spans="1:9" ht="12" customHeight="1" outlineLevel="1">
      <c r="A34" s="333" t="s">
        <v>198</v>
      </c>
      <c r="B34" s="333"/>
      <c r="C34" s="73"/>
      <c r="D34" s="73"/>
      <c r="E34" s="74">
        <v>624545.81000000006</v>
      </c>
      <c r="F34" s="73"/>
      <c r="G34" s="73"/>
      <c r="H34" s="75"/>
      <c r="I34" s="76"/>
    </row>
    <row r="35" spans="1:9" ht="12" customHeight="1" outlineLevel="1">
      <c r="A35" s="333" t="s">
        <v>199</v>
      </c>
      <c r="B35" s="333"/>
      <c r="C35" s="73"/>
      <c r="D35" s="73"/>
      <c r="E35" s="77">
        <v>529.76</v>
      </c>
      <c r="F35" s="73"/>
      <c r="G35" s="73"/>
      <c r="H35" s="75"/>
      <c r="I35" s="76"/>
    </row>
    <row r="36" spans="1:9" ht="34.5" customHeight="1" outlineLevel="1">
      <c r="A36" s="333" t="s">
        <v>200</v>
      </c>
      <c r="B36" s="333"/>
      <c r="C36" s="73"/>
      <c r="D36" s="73"/>
      <c r="E36" s="77">
        <v>3.61</v>
      </c>
      <c r="F36" s="73"/>
      <c r="G36" s="73"/>
      <c r="H36" s="75"/>
      <c r="I36" s="76"/>
    </row>
    <row r="37" spans="1:9" ht="12" customHeight="1" outlineLevel="1">
      <c r="A37" s="333" t="s">
        <v>201</v>
      </c>
      <c r="B37" s="333"/>
      <c r="C37" s="73"/>
      <c r="D37" s="73"/>
      <c r="E37" s="77">
        <v>934.51</v>
      </c>
      <c r="F37" s="73"/>
      <c r="G37" s="73"/>
      <c r="H37" s="75"/>
      <c r="I37" s="76"/>
    </row>
    <row r="38" spans="1:9" ht="12" customHeight="1" outlineLevel="1">
      <c r="A38" s="333" t="s">
        <v>202</v>
      </c>
      <c r="B38" s="333"/>
      <c r="C38" s="73"/>
      <c r="D38" s="73"/>
      <c r="E38" s="74">
        <v>2265.16</v>
      </c>
      <c r="F38" s="73"/>
      <c r="G38" s="73"/>
      <c r="H38" s="75"/>
      <c r="I38" s="76"/>
    </row>
    <row r="39" spans="1:9" ht="12" customHeight="1" outlineLevel="1">
      <c r="A39" s="333" t="s">
        <v>203</v>
      </c>
      <c r="B39" s="333"/>
      <c r="C39" s="73"/>
      <c r="D39" s="73"/>
      <c r="E39" s="77">
        <v>45.65</v>
      </c>
      <c r="F39" s="73"/>
      <c r="G39" s="73"/>
      <c r="H39" s="75"/>
      <c r="I39" s="76"/>
    </row>
    <row r="40" spans="1:9" ht="12" customHeight="1" outlineLevel="1">
      <c r="A40" s="333" t="s">
        <v>204</v>
      </c>
      <c r="B40" s="333"/>
      <c r="C40" s="73"/>
      <c r="D40" s="73"/>
      <c r="E40" s="74">
        <v>53000</v>
      </c>
      <c r="F40" s="73"/>
      <c r="G40" s="73"/>
      <c r="H40" s="75"/>
      <c r="I40" s="76"/>
    </row>
    <row r="41" spans="1:9" ht="23.25" customHeight="1" outlineLevel="1">
      <c r="A41" s="333" t="s">
        <v>205</v>
      </c>
      <c r="B41" s="333"/>
      <c r="C41" s="73"/>
      <c r="D41" s="73"/>
      <c r="E41" s="77">
        <v>116.78</v>
      </c>
      <c r="F41" s="73"/>
      <c r="G41" s="73"/>
      <c r="H41" s="75"/>
      <c r="I41" s="76"/>
    </row>
    <row r="42" spans="1:9" ht="34.5" customHeight="1" outlineLevel="1">
      <c r="A42" s="333" t="s">
        <v>206</v>
      </c>
      <c r="B42" s="333"/>
      <c r="C42" s="73"/>
      <c r="D42" s="73"/>
      <c r="E42" s="77">
        <v>809.86</v>
      </c>
      <c r="F42" s="73"/>
      <c r="G42" s="73"/>
      <c r="H42" s="75"/>
      <c r="I42" s="76"/>
    </row>
    <row r="43" spans="1:9" ht="12" customHeight="1" outlineLevel="1">
      <c r="A43" s="333" t="s">
        <v>207</v>
      </c>
      <c r="B43" s="333"/>
      <c r="C43" s="73"/>
      <c r="D43" s="73"/>
      <c r="E43" s="77">
        <v>71.31</v>
      </c>
      <c r="F43" s="73"/>
      <c r="G43" s="73"/>
      <c r="H43" s="75"/>
      <c r="I43" s="76"/>
    </row>
    <row r="44" spans="1:9" ht="12" customHeight="1" outlineLevel="1">
      <c r="A44" s="333" t="s">
        <v>208</v>
      </c>
      <c r="B44" s="333"/>
      <c r="C44" s="73"/>
      <c r="D44" s="73"/>
      <c r="E44" s="74">
        <v>4655.8599999999997</v>
      </c>
      <c r="F44" s="73"/>
      <c r="G44" s="73"/>
      <c r="H44" s="75"/>
      <c r="I44" s="76"/>
    </row>
    <row r="45" spans="1:9" ht="12" customHeight="1" outlineLevel="1">
      <c r="A45" s="333" t="s">
        <v>209</v>
      </c>
      <c r="B45" s="333"/>
      <c r="C45" s="73"/>
      <c r="D45" s="73"/>
      <c r="E45" s="74">
        <v>5930.12</v>
      </c>
      <c r="F45" s="73"/>
      <c r="G45" s="73"/>
      <c r="H45" s="75"/>
      <c r="I45" s="76"/>
    </row>
    <row r="46" spans="1:9" ht="34.5" customHeight="1" outlineLevel="1">
      <c r="A46" s="333" t="s">
        <v>210</v>
      </c>
      <c r="B46" s="333"/>
      <c r="C46" s="73"/>
      <c r="D46" s="73"/>
      <c r="E46" s="77">
        <v>165.76</v>
      </c>
      <c r="F46" s="73"/>
      <c r="G46" s="73"/>
      <c r="H46" s="75"/>
      <c r="I46" s="76"/>
    </row>
    <row r="47" spans="1:9" ht="12" customHeight="1" outlineLevel="1">
      <c r="A47" s="333" t="s">
        <v>211</v>
      </c>
      <c r="B47" s="333"/>
      <c r="C47" s="73"/>
      <c r="D47" s="73"/>
      <c r="E47" s="74">
        <v>1160.58</v>
      </c>
      <c r="F47" s="73"/>
      <c r="G47" s="73"/>
      <c r="H47" s="75"/>
      <c r="I47" s="76"/>
    </row>
    <row r="48" spans="1:9" ht="12" customHeight="1" outlineLevel="1">
      <c r="A48" s="333" t="s">
        <v>212</v>
      </c>
      <c r="B48" s="333"/>
      <c r="C48" s="73"/>
      <c r="D48" s="73"/>
      <c r="E48" s="77">
        <v>788.12</v>
      </c>
      <c r="F48" s="73"/>
      <c r="G48" s="73"/>
      <c r="H48" s="75"/>
      <c r="I48" s="76"/>
    </row>
    <row r="49" spans="1:9" ht="12" customHeight="1" outlineLevel="1">
      <c r="A49" s="333" t="s">
        <v>213</v>
      </c>
      <c r="B49" s="333"/>
      <c r="C49" s="73"/>
      <c r="D49" s="73"/>
      <c r="E49" s="74">
        <v>2801.33</v>
      </c>
      <c r="F49" s="73"/>
      <c r="G49" s="73"/>
      <c r="H49" s="75"/>
      <c r="I49" s="76"/>
    </row>
    <row r="50" spans="1:9" ht="12" customHeight="1" outlineLevel="1">
      <c r="A50" s="333" t="s">
        <v>214</v>
      </c>
      <c r="B50" s="333"/>
      <c r="C50" s="73"/>
      <c r="D50" s="73"/>
      <c r="E50" s="77">
        <v>82.59</v>
      </c>
      <c r="F50" s="73"/>
      <c r="G50" s="73"/>
      <c r="H50" s="75"/>
      <c r="I50" s="76"/>
    </row>
    <row r="51" spans="1:9" ht="23.25" customHeight="1" outlineLevel="1">
      <c r="A51" s="333" t="s">
        <v>215</v>
      </c>
      <c r="B51" s="333"/>
      <c r="C51" s="73"/>
      <c r="D51" s="73"/>
      <c r="E51" s="74">
        <v>1062.02</v>
      </c>
      <c r="F51" s="73"/>
      <c r="G51" s="73"/>
      <c r="H51" s="75"/>
      <c r="I51" s="76"/>
    </row>
    <row r="52" spans="1:9" ht="12" customHeight="1" outlineLevel="1">
      <c r="A52" s="333" t="s">
        <v>216</v>
      </c>
      <c r="B52" s="333"/>
      <c r="C52" s="73"/>
      <c r="D52" s="73"/>
      <c r="E52" s="74">
        <v>186418.25</v>
      </c>
      <c r="F52" s="73"/>
      <c r="G52" s="73"/>
      <c r="H52" s="75"/>
      <c r="I52" s="76"/>
    </row>
    <row r="53" spans="1:9" ht="12" customHeight="1" outlineLevel="1">
      <c r="A53" s="333" t="s">
        <v>217</v>
      </c>
      <c r="B53" s="333"/>
      <c r="C53" s="73"/>
      <c r="D53" s="73"/>
      <c r="E53" s="74">
        <v>248516.01</v>
      </c>
      <c r="F53" s="73"/>
      <c r="G53" s="73"/>
      <c r="H53" s="75"/>
      <c r="I53" s="76"/>
    </row>
    <row r="54" spans="1:9" ht="23.25" customHeight="1" outlineLevel="1">
      <c r="A54" s="333" t="s">
        <v>218</v>
      </c>
      <c r="B54" s="333"/>
      <c r="C54" s="73"/>
      <c r="D54" s="73"/>
      <c r="E54" s="74">
        <v>1760.32</v>
      </c>
      <c r="F54" s="73"/>
      <c r="G54" s="73"/>
      <c r="H54" s="75"/>
      <c r="I54" s="76"/>
    </row>
    <row r="55" spans="1:9" ht="23.25" customHeight="1" outlineLevel="1">
      <c r="A55" s="333" t="s">
        <v>219</v>
      </c>
      <c r="B55" s="333"/>
      <c r="C55" s="73"/>
      <c r="D55" s="73"/>
      <c r="E55" s="74">
        <v>1472.23</v>
      </c>
      <c r="F55" s="73"/>
      <c r="G55" s="73"/>
      <c r="H55" s="75"/>
      <c r="I55" s="76"/>
    </row>
    <row r="56" spans="1:9" ht="23.25" customHeight="1" outlineLevel="1">
      <c r="A56" s="333" t="s">
        <v>220</v>
      </c>
      <c r="B56" s="333"/>
      <c r="C56" s="73"/>
      <c r="D56" s="73"/>
      <c r="E56" s="74">
        <v>31519.78</v>
      </c>
      <c r="F56" s="73"/>
      <c r="G56" s="73"/>
      <c r="H56" s="75"/>
      <c r="I56" s="76"/>
    </row>
    <row r="57" spans="1:9" ht="23.25" customHeight="1" outlineLevel="1">
      <c r="A57" s="333" t="s">
        <v>221</v>
      </c>
      <c r="B57" s="333"/>
      <c r="C57" s="73"/>
      <c r="D57" s="73"/>
      <c r="E57" s="77">
        <v>434.69</v>
      </c>
      <c r="F57" s="73"/>
      <c r="G57" s="73"/>
      <c r="H57" s="75"/>
      <c r="I57" s="76"/>
    </row>
    <row r="58" spans="1:9" ht="23.25" customHeight="1" outlineLevel="1">
      <c r="A58" s="333" t="s">
        <v>222</v>
      </c>
      <c r="B58" s="333"/>
      <c r="C58" s="73"/>
      <c r="D58" s="73"/>
      <c r="E58" s="74">
        <v>1968</v>
      </c>
      <c r="F58" s="73"/>
      <c r="G58" s="73"/>
      <c r="H58" s="75"/>
      <c r="I58" s="76"/>
    </row>
    <row r="59" spans="1:9" ht="23.25" customHeight="1" outlineLevel="1">
      <c r="A59" s="333" t="s">
        <v>223</v>
      </c>
      <c r="B59" s="333"/>
      <c r="C59" s="73"/>
      <c r="D59" s="73"/>
      <c r="E59" s="74">
        <v>18448.240000000002</v>
      </c>
      <c r="F59" s="73"/>
      <c r="G59" s="73"/>
      <c r="H59" s="75"/>
      <c r="I59" s="76"/>
    </row>
    <row r="60" spans="1:9" ht="23.25" customHeight="1" outlineLevel="1">
      <c r="A60" s="333" t="s">
        <v>224</v>
      </c>
      <c r="B60" s="333"/>
      <c r="C60" s="73"/>
      <c r="D60" s="73"/>
      <c r="E60" s="74">
        <v>1187.77</v>
      </c>
      <c r="F60" s="73"/>
      <c r="G60" s="73"/>
      <c r="H60" s="75"/>
      <c r="I60" s="76"/>
    </row>
    <row r="61" spans="1:9" ht="12.75" customHeight="1">
      <c r="A61" s="342" t="s">
        <v>225</v>
      </c>
      <c r="B61" s="342"/>
      <c r="C61" s="80"/>
      <c r="D61" s="80"/>
      <c r="E61" s="81">
        <v>1292365.6399999999</v>
      </c>
      <c r="F61" s="81">
        <v>1292365.6399999999</v>
      </c>
      <c r="G61" s="80"/>
      <c r="H61" s="82"/>
      <c r="I61" s="83"/>
    </row>
  </sheetData>
  <mergeCells count="66">
    <mergeCell ref="A58:B58"/>
    <mergeCell ref="A59:B59"/>
    <mergeCell ref="A60:B60"/>
    <mergeCell ref="A61:B61"/>
    <mergeCell ref="A52:B52"/>
    <mergeCell ref="A53:B53"/>
    <mergeCell ref="A54:B54"/>
    <mergeCell ref="A55:B55"/>
    <mergeCell ref="A56:B56"/>
    <mergeCell ref="A57:B57"/>
    <mergeCell ref="A51:B51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7:B27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H9:I10"/>
    <mergeCell ref="A11:B11"/>
    <mergeCell ref="A12:B12"/>
    <mergeCell ref="A13:B13"/>
    <mergeCell ref="A14:B14"/>
    <mergeCell ref="F9:F10"/>
    <mergeCell ref="G9:G10"/>
    <mergeCell ref="A15:B15"/>
    <mergeCell ref="A9:B10"/>
    <mergeCell ref="C9:C10"/>
    <mergeCell ref="D9:D10"/>
    <mergeCell ref="E9:E10"/>
    <mergeCell ref="A1:H1"/>
    <mergeCell ref="A2:H2"/>
    <mergeCell ref="B4:H4"/>
    <mergeCell ref="B6:H6"/>
    <mergeCell ref="A8:B8"/>
    <mergeCell ref="C8:D8"/>
    <mergeCell ref="E8:F8"/>
    <mergeCell ref="G8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S131"/>
  <sheetViews>
    <sheetView view="pageBreakPreview" topLeftCell="A97" zoomScale="70" zoomScaleNormal="85" zoomScaleSheetLayoutView="70" workbookViewId="0">
      <selection activeCell="L41" sqref="L41"/>
    </sheetView>
  </sheetViews>
  <sheetFormatPr defaultRowHeight="15"/>
  <cols>
    <col min="1" max="1" width="66.42578125" style="199" customWidth="1"/>
    <col min="2" max="2" width="10.5703125" style="200" customWidth="1"/>
    <col min="3" max="3" width="32.5703125" style="199" customWidth="1"/>
    <col min="4" max="4" width="12.140625" style="136" customWidth="1"/>
    <col min="5" max="5" width="17" style="136" customWidth="1"/>
    <col min="6" max="6" width="16.5703125" style="136" bestFit="1" customWidth="1"/>
    <col min="7" max="7" width="12.140625" style="136" customWidth="1"/>
    <col min="8" max="8" width="13.7109375" style="136" bestFit="1" customWidth="1"/>
    <col min="9" max="9" width="14.28515625" style="201" customWidth="1"/>
    <col min="10" max="10" width="14.85546875" style="201" customWidth="1"/>
    <col min="11" max="11" width="13.42578125" style="201" customWidth="1"/>
    <col min="12" max="12" width="13.85546875" style="201" bestFit="1" customWidth="1"/>
    <col min="13" max="13" width="13.5703125" style="201" customWidth="1"/>
    <col min="14" max="14" width="17.5703125" style="136" customWidth="1"/>
    <col min="15" max="15" width="9.28515625" style="202" bestFit="1" customWidth="1"/>
    <col min="16" max="16" width="30.140625" style="136" customWidth="1"/>
    <col min="17" max="17" width="28.42578125" style="136" customWidth="1"/>
    <col min="18" max="18" width="9.140625" style="136"/>
    <col min="19" max="19" width="11.7109375" style="136" bestFit="1" customWidth="1"/>
    <col min="20" max="16384" width="9.140625" style="136"/>
  </cols>
  <sheetData>
    <row r="1" spans="1:19">
      <c r="A1" s="199" t="s">
        <v>311</v>
      </c>
      <c r="M1" s="201" t="s">
        <v>112</v>
      </c>
      <c r="N1" s="135">
        <f>N5+N6+N7+N12+N15+N17+N18+N19+N20+N21+N23+N24+N25+N31+N33+N34+N35+N36+N38+N39+N40+N41+N42+N43+N46+N47+N48+N56+N58+N59+N60+N61+N63+N65+N66+N72+N73+N74+N75+N83+N85+N86+N99+N100+N101+N115</f>
        <v>-10071815.380000003</v>
      </c>
      <c r="P1" s="135">
        <f>N1+N2+'20_2021'!Q1</f>
        <v>-13210321.008633541</v>
      </c>
    </row>
    <row r="2" spans="1:19">
      <c r="A2" s="199" t="s">
        <v>111</v>
      </c>
      <c r="M2" s="201" t="s">
        <v>175</v>
      </c>
      <c r="N2" s="135">
        <f>N8+N9+N10+N11+N13+N14+N16+N28+N29+N30+N32+N44+N45+N52+N53+N54+N57+N62+N67+N68+N69+N70+N71+N76+N77+N78+N79+N81+N82+N84+N87+N88+N89+N90+N91+N92+N93+N94+N95+N96+N97+N98</f>
        <v>-3124687.0986335399</v>
      </c>
    </row>
    <row r="3" spans="1:19">
      <c r="A3" s="344" t="s">
        <v>114</v>
      </c>
      <c r="B3" s="346" t="s">
        <v>115</v>
      </c>
      <c r="C3" s="344" t="s">
        <v>116</v>
      </c>
      <c r="D3" s="344" t="s">
        <v>309</v>
      </c>
      <c r="E3" s="344" t="s">
        <v>313</v>
      </c>
      <c r="F3" s="344" t="s">
        <v>117</v>
      </c>
      <c r="G3" s="344" t="s">
        <v>118</v>
      </c>
      <c r="H3" s="348" t="s">
        <v>119</v>
      </c>
      <c r="I3" s="349"/>
      <c r="J3" s="349"/>
      <c r="K3" s="349"/>
      <c r="L3" s="350"/>
      <c r="M3" s="344" t="s">
        <v>352</v>
      </c>
      <c r="N3" s="352" t="s">
        <v>106</v>
      </c>
      <c r="O3" s="354" t="s">
        <v>120</v>
      </c>
      <c r="P3" s="354"/>
      <c r="Q3" s="343" t="s">
        <v>492</v>
      </c>
    </row>
    <row r="4" spans="1:19">
      <c r="A4" s="345"/>
      <c r="B4" s="347"/>
      <c r="C4" s="345"/>
      <c r="D4" s="345"/>
      <c r="E4" s="345"/>
      <c r="F4" s="345"/>
      <c r="G4" s="345"/>
      <c r="H4" s="203" t="s">
        <v>121</v>
      </c>
      <c r="I4" s="204" t="s">
        <v>122</v>
      </c>
      <c r="J4" s="204" t="s">
        <v>123</v>
      </c>
      <c r="K4" s="204" t="s">
        <v>124</v>
      </c>
      <c r="L4" s="204" t="s">
        <v>125</v>
      </c>
      <c r="M4" s="351"/>
      <c r="N4" s="353"/>
      <c r="O4" s="205" t="s">
        <v>126</v>
      </c>
      <c r="P4" s="206" t="s">
        <v>127</v>
      </c>
      <c r="Q4" s="343" t="s">
        <v>492</v>
      </c>
    </row>
    <row r="5" spans="1:19">
      <c r="A5" s="156" t="s">
        <v>353</v>
      </c>
      <c r="B5" s="274">
        <v>5529002</v>
      </c>
      <c r="C5" s="156" t="s">
        <v>277</v>
      </c>
      <c r="D5" s="159">
        <v>149</v>
      </c>
      <c r="E5" s="156"/>
      <c r="F5" s="207">
        <v>17821.28</v>
      </c>
      <c r="G5" s="207">
        <v>17821.28</v>
      </c>
      <c r="H5" s="208">
        <v>85488.737945205474</v>
      </c>
      <c r="I5" s="209">
        <f>44006.3+118819.04+1544.64+1626.05</f>
        <v>165996.03</v>
      </c>
      <c r="J5" s="209">
        <f>25141.3+12775.8+20262.73+10698.85+678.77+173.87+6477.32+1220.58</f>
        <v>77429.220000000016</v>
      </c>
      <c r="K5" s="209">
        <f>7642.96+3883.84+6159.87+3252.45+206.35+52.86+1969.11+371.06</f>
        <v>23538.5</v>
      </c>
      <c r="L5" s="209">
        <f>25310.67+27901.3+398.22+2782.79</f>
        <v>56392.98</v>
      </c>
      <c r="M5" s="209">
        <v>5100</v>
      </c>
      <c r="N5" s="218">
        <v>-80850.322602739703</v>
      </c>
      <c r="O5" s="140">
        <v>9.5000000000000001E-2</v>
      </c>
      <c r="P5" s="141" t="s">
        <v>494</v>
      </c>
      <c r="Q5" s="213" t="s">
        <v>82</v>
      </c>
      <c r="R5" s="136">
        <f>O5/(O5+O6)</f>
        <v>0.26027397260273971</v>
      </c>
      <c r="S5" s="136">
        <f>H5*R5</f>
        <v>22250.493437793204</v>
      </c>
    </row>
    <row r="6" spans="1:19">
      <c r="A6" s="156" t="s">
        <v>353</v>
      </c>
      <c r="B6" s="274">
        <v>5529002</v>
      </c>
      <c r="C6" s="156" t="s">
        <v>277</v>
      </c>
      <c r="D6" s="159">
        <v>149</v>
      </c>
      <c r="E6" s="156"/>
      <c r="F6" s="207">
        <v>17821.28</v>
      </c>
      <c r="G6" s="207">
        <v>17821.28</v>
      </c>
      <c r="H6" s="208">
        <v>242967.99205479454</v>
      </c>
      <c r="I6" s="209">
        <f>44006.3+118819.04+1544.64+1626.05</f>
        <v>165996.03</v>
      </c>
      <c r="J6" s="209">
        <f>25141.3+12775.8+20262.73+10698.85+678.77+173.87+6477.32+1220.58</f>
        <v>77429.220000000016</v>
      </c>
      <c r="K6" s="209">
        <f>7642.96+3883.84+6159.87+3252.45+206.35+52.86+1969.11+371.06</f>
        <v>23538.5</v>
      </c>
      <c r="L6" s="209">
        <f>25310.67+27901.3+398.22+2782.79</f>
        <v>56392.98</v>
      </c>
      <c r="M6" s="209">
        <v>5100</v>
      </c>
      <c r="N6" s="218">
        <v>-229785.12739726025</v>
      </c>
      <c r="O6" s="140">
        <v>0.27</v>
      </c>
      <c r="P6" s="141" t="s">
        <v>135</v>
      </c>
      <c r="Q6" s="213" t="s">
        <v>283</v>
      </c>
      <c r="R6" s="136">
        <f>O6/(O5+O6)</f>
        <v>0.73972602739726034</v>
      </c>
      <c r="S6" s="136">
        <f>H5*R6</f>
        <v>63238.244507412273</v>
      </c>
    </row>
    <row r="7" spans="1:19">
      <c r="A7" s="157" t="s">
        <v>354</v>
      </c>
      <c r="B7" s="273">
        <v>5555001</v>
      </c>
      <c r="C7" s="157" t="s">
        <v>355</v>
      </c>
      <c r="D7" s="159">
        <v>80</v>
      </c>
      <c r="E7" s="157"/>
      <c r="F7" s="210">
        <v>17821.28</v>
      </c>
      <c r="G7" s="210">
        <v>17821.28</v>
      </c>
      <c r="H7" s="211">
        <f t="shared" ref="H7:H15" si="0">SUM(I7:M7)</f>
        <v>351186.92</v>
      </c>
      <c r="I7" s="212">
        <v>62495.68</v>
      </c>
      <c r="J7" s="212">
        <f>27995.97+20014.5+21201.4+9065.54</f>
        <v>78277.41</v>
      </c>
      <c r="K7" s="212">
        <f>8510.78+6084.41+6445.22+2755.92</f>
        <v>23796.33</v>
      </c>
      <c r="L7" s="212">
        <f>24275.24+24912.26</f>
        <v>49187.5</v>
      </c>
      <c r="M7" s="212">
        <f>147630-10200</f>
        <v>137430</v>
      </c>
      <c r="N7" s="211">
        <f t="shared" ref="N7:N96" si="1">F7-H7</f>
        <v>-333365.64</v>
      </c>
      <c r="O7" s="140">
        <v>0.159</v>
      </c>
      <c r="P7" s="141" t="s">
        <v>138</v>
      </c>
      <c r="Q7" s="213" t="s">
        <v>284</v>
      </c>
    </row>
    <row r="8" spans="1:19">
      <c r="A8" s="157" t="s">
        <v>356</v>
      </c>
      <c r="B8" s="273">
        <v>5603001</v>
      </c>
      <c r="C8" s="157" t="s">
        <v>357</v>
      </c>
      <c r="D8" s="159">
        <v>15</v>
      </c>
      <c r="E8" s="157"/>
      <c r="F8" s="210">
        <v>550</v>
      </c>
      <c r="G8" s="210">
        <v>550</v>
      </c>
      <c r="H8" s="211">
        <f t="shared" si="0"/>
        <v>16238.100000000002</v>
      </c>
      <c r="I8" s="212">
        <v>6389.42</v>
      </c>
      <c r="J8" s="212">
        <f>2080.46+1358.54</f>
        <v>3439</v>
      </c>
      <c r="K8" s="212">
        <f>632.46+413</f>
        <v>1045.46</v>
      </c>
      <c r="L8" s="212">
        <v>5364.22</v>
      </c>
      <c r="M8" s="212">
        <v>0</v>
      </c>
      <c r="N8" s="211">
        <f t="shared" si="1"/>
        <v>-15688.100000000002</v>
      </c>
      <c r="O8" s="142">
        <v>0.03</v>
      </c>
      <c r="P8" s="129" t="s">
        <v>131</v>
      </c>
      <c r="Q8" s="213" t="s">
        <v>48</v>
      </c>
    </row>
    <row r="9" spans="1:19">
      <c r="A9" s="168" t="s">
        <v>270</v>
      </c>
      <c r="B9" s="273">
        <v>5564004</v>
      </c>
      <c r="C9" s="157" t="s">
        <v>358</v>
      </c>
      <c r="D9" s="159">
        <v>15</v>
      </c>
      <c r="E9" s="157"/>
      <c r="F9" s="210">
        <v>550</v>
      </c>
      <c r="G9" s="210">
        <v>550</v>
      </c>
      <c r="H9" s="211">
        <f t="shared" si="0"/>
        <v>16261.04</v>
      </c>
      <c r="I9" s="212">
        <v>6412.36</v>
      </c>
      <c r="J9" s="212">
        <f>2080.46+1358.54</f>
        <v>3439</v>
      </c>
      <c r="K9" s="212">
        <f>632.46+413</f>
        <v>1045.46</v>
      </c>
      <c r="L9" s="212">
        <v>5364.22</v>
      </c>
      <c r="M9" s="212"/>
      <c r="N9" s="211">
        <f t="shared" si="1"/>
        <v>-15711.04</v>
      </c>
      <c r="O9" s="142">
        <v>0.03</v>
      </c>
      <c r="P9" s="129" t="s">
        <v>131</v>
      </c>
      <c r="Q9" s="213" t="s">
        <v>48</v>
      </c>
    </row>
    <row r="10" spans="1:19" ht="45">
      <c r="A10" s="157" t="s">
        <v>359</v>
      </c>
      <c r="B10" s="273">
        <v>4421002</v>
      </c>
      <c r="C10" s="157" t="s">
        <v>342</v>
      </c>
      <c r="D10" s="159">
        <v>15</v>
      </c>
      <c r="E10" s="157"/>
      <c r="F10" s="210">
        <v>550</v>
      </c>
      <c r="G10" s="210">
        <v>550</v>
      </c>
      <c r="H10" s="211">
        <v>101350.99666666667</v>
      </c>
      <c r="I10" s="212">
        <v>320356.21000000002</v>
      </c>
      <c r="J10" s="212">
        <f>12165.36+5172.85+34485.63+7863.39+3823.18+1803.98+3518.6+1349.75</f>
        <v>70182.740000000005</v>
      </c>
      <c r="K10" s="212">
        <f>3698.27+1572.55+10483.63+2390.47+1162.25+548.41+1069.65+410.33</f>
        <v>21335.56</v>
      </c>
      <c r="L10" s="212">
        <f>17701.53+24643.89+5264.5+4037.79</f>
        <v>51647.71</v>
      </c>
      <c r="M10" s="212">
        <v>1500</v>
      </c>
      <c r="N10" s="219">
        <v>-101231.12487179488</v>
      </c>
      <c r="O10" s="140">
        <f>0.06+0.04+0.07</f>
        <v>0.17</v>
      </c>
      <c r="P10" s="141" t="s">
        <v>496</v>
      </c>
      <c r="Q10" s="213" t="s">
        <v>48</v>
      </c>
      <c r="R10" s="136">
        <f>O10/(O10+O11)</f>
        <v>0.21794871794871795</v>
      </c>
      <c r="S10" s="136">
        <f>H10*R10</f>
        <v>22089.319786324788</v>
      </c>
    </row>
    <row r="11" spans="1:19" ht="30">
      <c r="A11" s="157" t="s">
        <v>359</v>
      </c>
      <c r="B11" s="273">
        <v>4421002</v>
      </c>
      <c r="C11" s="157" t="s">
        <v>342</v>
      </c>
      <c r="D11" s="159">
        <v>15</v>
      </c>
      <c r="E11" s="157"/>
      <c r="F11" s="210">
        <v>550</v>
      </c>
      <c r="G11" s="210">
        <v>550</v>
      </c>
      <c r="H11" s="211">
        <v>363671.22333333333</v>
      </c>
      <c r="I11" s="212">
        <v>320356.21000000002</v>
      </c>
      <c r="J11" s="212">
        <f>12165.36+5172.85+34485.63+7863.39+3823.18+1803.98+3518.6+1349.75</f>
        <v>70182.740000000005</v>
      </c>
      <c r="K11" s="212">
        <f>3698.27+1572.55+10483.63+2390.47+1162.25+548.41+1069.65+410.33</f>
        <v>21335.56</v>
      </c>
      <c r="L11" s="212">
        <f>17701.53+24643.89+5264.5+4037.79</f>
        <v>51647.71</v>
      </c>
      <c r="M11" s="212">
        <v>1500</v>
      </c>
      <c r="N11" s="219">
        <v>-363241.09512820514</v>
      </c>
      <c r="O11" s="140">
        <f>0.61</f>
        <v>0.61</v>
      </c>
      <c r="P11" s="141" t="s">
        <v>495</v>
      </c>
      <c r="Q11" s="213" t="s">
        <v>49</v>
      </c>
      <c r="R11" s="136">
        <f>O11/(O10+O11)</f>
        <v>0.78205128205128205</v>
      </c>
      <c r="S11" s="136">
        <f>H10*R11</f>
        <v>79261.676880341882</v>
      </c>
    </row>
    <row r="12" spans="1:19">
      <c r="A12" s="157" t="s">
        <v>360</v>
      </c>
      <c r="B12" s="157">
        <v>5564001</v>
      </c>
      <c r="C12" s="157" t="s">
        <v>358</v>
      </c>
      <c r="D12" s="159">
        <v>139</v>
      </c>
      <c r="E12" s="157"/>
      <c r="F12" s="210">
        <v>17821.28</v>
      </c>
      <c r="G12" s="210">
        <v>8019.57</v>
      </c>
      <c r="H12" s="211">
        <f t="shared" si="0"/>
        <v>252518.54</v>
      </c>
      <c r="I12" s="212">
        <v>101631.15</v>
      </c>
      <c r="J12" s="212">
        <f>42886.9+26590.36</f>
        <v>69477.260000000009</v>
      </c>
      <c r="K12" s="212">
        <f>13037.62+8083.47</f>
        <v>21121.09</v>
      </c>
      <c r="L12" s="212">
        <v>52589.04</v>
      </c>
      <c r="M12" s="212">
        <v>7700</v>
      </c>
      <c r="N12" s="211">
        <f t="shared" si="1"/>
        <v>-234697.26</v>
      </c>
      <c r="O12" s="142">
        <v>0.24</v>
      </c>
      <c r="P12" s="129" t="s">
        <v>361</v>
      </c>
      <c r="Q12" s="213" t="s">
        <v>82</v>
      </c>
    </row>
    <row r="13" spans="1:19" ht="30">
      <c r="A13" s="157" t="s">
        <v>362</v>
      </c>
      <c r="B13" s="273">
        <v>5625001</v>
      </c>
      <c r="C13" s="157" t="s">
        <v>363</v>
      </c>
      <c r="D13" s="159">
        <v>5</v>
      </c>
      <c r="E13" s="157"/>
      <c r="F13" s="210">
        <v>550</v>
      </c>
      <c r="G13" s="210">
        <v>550</v>
      </c>
      <c r="H13" s="211">
        <v>111103.23015873016</v>
      </c>
      <c r="I13" s="212">
        <v>45581.67</v>
      </c>
      <c r="J13" s="212">
        <f>4072.64+1982.34+23329.98+10007.25</f>
        <v>39392.21</v>
      </c>
      <c r="K13" s="212">
        <f>1238.08+602.63+7092.31+3042.2</f>
        <v>11975.220000000001</v>
      </c>
      <c r="L13" s="212">
        <f>6425.48+21889.12</f>
        <v>28314.6</v>
      </c>
      <c r="M13" s="212">
        <v>2000</v>
      </c>
      <c r="N13" s="219">
        <v>-110623.07142857143</v>
      </c>
      <c r="O13" s="140">
        <v>0.11</v>
      </c>
      <c r="P13" s="141" t="s">
        <v>497</v>
      </c>
      <c r="Q13" s="213" t="s">
        <v>49</v>
      </c>
      <c r="R13" s="136">
        <f>O13/(O13+O14)</f>
        <v>0.87301587301587302</v>
      </c>
      <c r="S13" s="136">
        <f>H13*R13</f>
        <v>96994.883471907291</v>
      </c>
    </row>
    <row r="14" spans="1:19" ht="30">
      <c r="A14" s="157" t="s">
        <v>362</v>
      </c>
      <c r="B14" s="273">
        <v>5625001</v>
      </c>
      <c r="C14" s="157" t="s">
        <v>363</v>
      </c>
      <c r="D14" s="159">
        <v>5</v>
      </c>
      <c r="E14" s="157"/>
      <c r="F14" s="210">
        <v>550</v>
      </c>
      <c r="G14" s="210">
        <v>550</v>
      </c>
      <c r="H14" s="211">
        <v>16160.469841269842</v>
      </c>
      <c r="I14" s="212">
        <v>45581.67</v>
      </c>
      <c r="J14" s="212">
        <f>4072.64+1982.34+23329.98+10007.25</f>
        <v>39392.21</v>
      </c>
      <c r="K14" s="212">
        <f>1238.08+602.63+7092.31+3042.2</f>
        <v>11975.220000000001</v>
      </c>
      <c r="L14" s="212">
        <f>6425.48+21889.12</f>
        <v>28314.6</v>
      </c>
      <c r="M14" s="212">
        <v>2000</v>
      </c>
      <c r="N14" s="219">
        <v>-16090.628571428571</v>
      </c>
      <c r="O14" s="140">
        <v>1.6E-2</v>
      </c>
      <c r="P14" s="141" t="s">
        <v>128</v>
      </c>
      <c r="Q14" s="213" t="s">
        <v>53</v>
      </c>
      <c r="R14" s="136">
        <f>O14/(O13+O14)</f>
        <v>0.12698412698412698</v>
      </c>
      <c r="S14" s="136">
        <f>H13*R14</f>
        <v>14108.346686822877</v>
      </c>
    </row>
    <row r="15" spans="1:19">
      <c r="A15" s="157" t="s">
        <v>364</v>
      </c>
      <c r="B15" s="157">
        <v>3540011</v>
      </c>
      <c r="C15" s="157" t="s">
        <v>365</v>
      </c>
      <c r="D15" s="159">
        <v>150</v>
      </c>
      <c r="E15" s="157"/>
      <c r="F15" s="210">
        <v>17821.28</v>
      </c>
      <c r="G15" s="210">
        <v>17821.28</v>
      </c>
      <c r="H15" s="211">
        <f t="shared" si="0"/>
        <v>762685.39</v>
      </c>
      <c r="I15" s="212">
        <v>386244.49</v>
      </c>
      <c r="J15" s="212">
        <f>83536.58+32736.92+39523.28+20041.03</f>
        <v>175837.81</v>
      </c>
      <c r="K15" s="212">
        <f>25395.12+9952.02+12015.08+6092.47</f>
        <v>53454.69</v>
      </c>
      <c r="L15" s="212">
        <f>56196.29+45952.11</f>
        <v>102148.4</v>
      </c>
      <c r="M15" s="212">
        <v>45000</v>
      </c>
      <c r="N15" s="211">
        <f t="shared" si="1"/>
        <v>-744864.11</v>
      </c>
      <c r="O15" s="142">
        <f>0.45+0.13</f>
        <v>0.58000000000000007</v>
      </c>
      <c r="P15" s="129" t="s">
        <v>366</v>
      </c>
      <c r="Q15" s="213" t="s">
        <v>82</v>
      </c>
    </row>
    <row r="16" spans="1:19">
      <c r="A16" s="157" t="s">
        <v>367</v>
      </c>
      <c r="B16" s="273">
        <v>5670001</v>
      </c>
      <c r="C16" s="157" t="s">
        <v>368</v>
      </c>
      <c r="D16" s="159">
        <v>15</v>
      </c>
      <c r="E16" s="157"/>
      <c r="F16" s="210">
        <v>550</v>
      </c>
      <c r="G16" s="210">
        <v>550</v>
      </c>
      <c r="H16" s="211">
        <f>SUM(I16:M16)</f>
        <v>59614.03</v>
      </c>
      <c r="I16" s="212">
        <v>26864.03</v>
      </c>
      <c r="J16" s="212">
        <f>7679.51+4190.74</f>
        <v>11870.25</v>
      </c>
      <c r="K16" s="212">
        <f>2334.57+1273.99</f>
        <v>3608.5600000000004</v>
      </c>
      <c r="L16" s="212">
        <v>10571.19</v>
      </c>
      <c r="M16" s="212">
        <v>6700</v>
      </c>
      <c r="N16" s="211">
        <f t="shared" si="1"/>
        <v>-59064.03</v>
      </c>
      <c r="O16" s="142">
        <v>0.06</v>
      </c>
      <c r="P16" s="129" t="s">
        <v>131</v>
      </c>
      <c r="Q16" s="213" t="s">
        <v>48</v>
      </c>
    </row>
    <row r="17" spans="1:19">
      <c r="A17" s="157" t="s">
        <v>369</v>
      </c>
      <c r="B17" s="157">
        <v>5535002</v>
      </c>
      <c r="C17" s="157" t="s">
        <v>370</v>
      </c>
      <c r="D17" s="159">
        <v>150</v>
      </c>
      <c r="E17" s="157"/>
      <c r="F17" s="210">
        <v>17821.28</v>
      </c>
      <c r="G17" s="210">
        <v>17821.28</v>
      </c>
      <c r="H17" s="211">
        <v>189600.8138095238</v>
      </c>
      <c r="I17" s="212">
        <v>135457.75</v>
      </c>
      <c r="J17" s="212">
        <f>12366.9+6316.26+18663.98+3710.26+3238.66+2441.15+2080.46+1002.01</f>
        <v>49819.68</v>
      </c>
      <c r="K17" s="212">
        <f>3759.54+1920.14+5673.85+1127.92+984.55+742.11+632.46+304.61</f>
        <v>15145.18</v>
      </c>
      <c r="L17" s="212">
        <f>15227.96+5308.29+1449.93+2303.98</f>
        <v>24290.16</v>
      </c>
      <c r="M17" s="212">
        <v>9500</v>
      </c>
      <c r="N17" s="219">
        <v>-175174.06333333332</v>
      </c>
      <c r="O17" s="140">
        <v>0.17</v>
      </c>
      <c r="P17" s="141" t="s">
        <v>498</v>
      </c>
      <c r="Q17" s="213" t="s">
        <v>283</v>
      </c>
      <c r="R17" s="136">
        <f>O17/(O17+O18)</f>
        <v>0.80952380952380953</v>
      </c>
      <c r="S17" s="136">
        <f>H17*R17</f>
        <v>153486.37308390022</v>
      </c>
    </row>
    <row r="18" spans="1:19">
      <c r="A18" s="157" t="s">
        <v>369</v>
      </c>
      <c r="B18" s="157">
        <v>5535002</v>
      </c>
      <c r="C18" s="157" t="s">
        <v>370</v>
      </c>
      <c r="D18" s="159">
        <v>150</v>
      </c>
      <c r="E18" s="157"/>
      <c r="F18" s="210">
        <v>17821.28</v>
      </c>
      <c r="G18" s="210">
        <v>17821.28</v>
      </c>
      <c r="H18" s="211">
        <v>44611.956190476187</v>
      </c>
      <c r="I18" s="212">
        <v>135457.75</v>
      </c>
      <c r="J18" s="212">
        <f>12366.9+6316.26+18663.98+3710.26+3238.66+2441.15+2080.46+1002.01</f>
        <v>49819.68</v>
      </c>
      <c r="K18" s="212">
        <f>3759.54+1920.14+5673.85+1127.92+984.55+742.11+632.46+304.61</f>
        <v>15145.18</v>
      </c>
      <c r="L18" s="212">
        <f>15227.96+5308.29+1449.93+2303.98</f>
        <v>24290.16</v>
      </c>
      <c r="M18" s="212">
        <v>9500</v>
      </c>
      <c r="N18" s="219">
        <v>-41217.426666666659</v>
      </c>
      <c r="O18" s="140">
        <v>0.04</v>
      </c>
      <c r="P18" s="141" t="s">
        <v>499</v>
      </c>
      <c r="Q18" s="213" t="s">
        <v>82</v>
      </c>
      <c r="R18" s="136">
        <f>O18/(O17+O18)</f>
        <v>0.19047619047619047</v>
      </c>
      <c r="S18" s="136">
        <f>H17*R18</f>
        <v>36114.440725623579</v>
      </c>
    </row>
    <row r="19" spans="1:19">
      <c r="A19" s="157" t="s">
        <v>371</v>
      </c>
      <c r="B19" s="157">
        <v>5535002</v>
      </c>
      <c r="C19" s="157" t="s">
        <v>370</v>
      </c>
      <c r="D19" s="159">
        <v>150</v>
      </c>
      <c r="E19" s="157"/>
      <c r="F19" s="210">
        <v>17821.28</v>
      </c>
      <c r="G19" s="210">
        <v>17821.28</v>
      </c>
      <c r="H19" s="211">
        <v>1171232.9863537906</v>
      </c>
      <c r="I19" s="212">
        <v>448689.16</v>
      </c>
      <c r="J19" s="212"/>
      <c r="K19" s="212"/>
      <c r="L19" s="212"/>
      <c r="M19" s="212">
        <v>789599.15</v>
      </c>
      <c r="N19" s="219">
        <v>-1154376.7576173285</v>
      </c>
      <c r="O19" s="140">
        <v>0.52400000000000002</v>
      </c>
      <c r="P19" s="141" t="s">
        <v>512</v>
      </c>
      <c r="Q19" s="213" t="s">
        <v>514</v>
      </c>
      <c r="R19" s="136">
        <f>O19/(O19+O20)</f>
        <v>0.94584837545126355</v>
      </c>
      <c r="S19" s="136">
        <f>H19*R19</f>
        <v>1107808.8174176647</v>
      </c>
    </row>
    <row r="20" spans="1:19">
      <c r="A20" s="157"/>
      <c r="B20" s="157">
        <v>5535002</v>
      </c>
      <c r="C20" s="157" t="s">
        <v>370</v>
      </c>
      <c r="D20" s="159">
        <v>150</v>
      </c>
      <c r="E20" s="157"/>
      <c r="F20" s="210">
        <v>17821.28</v>
      </c>
      <c r="G20" s="210">
        <v>17821.28</v>
      </c>
      <c r="H20" s="211">
        <v>67055.323646209377</v>
      </c>
      <c r="I20" s="212">
        <v>448689.16</v>
      </c>
      <c r="J20" s="212"/>
      <c r="K20" s="212"/>
      <c r="L20" s="212"/>
      <c r="M20" s="212">
        <v>789599.15</v>
      </c>
      <c r="N20" s="219">
        <v>-66090.272382671479</v>
      </c>
      <c r="O20" s="140">
        <v>0.03</v>
      </c>
      <c r="P20" s="141" t="s">
        <v>513</v>
      </c>
      <c r="Q20" s="213" t="s">
        <v>283</v>
      </c>
      <c r="R20" s="136">
        <f>O20/(O19+O20)</f>
        <v>5.4151624548736454E-2</v>
      </c>
      <c r="S20" s="136">
        <f>H19*R20</f>
        <v>63424.16893612584</v>
      </c>
    </row>
    <row r="21" spans="1:19">
      <c r="A21" s="157" t="s">
        <v>372</v>
      </c>
      <c r="B21" s="157">
        <v>5535002</v>
      </c>
      <c r="C21" s="157" t="s">
        <v>370</v>
      </c>
      <c r="D21" s="159">
        <v>150</v>
      </c>
      <c r="E21" s="157"/>
      <c r="F21" s="210">
        <v>17821.28</v>
      </c>
      <c r="G21" s="210">
        <v>17821.28</v>
      </c>
      <c r="H21" s="211">
        <f>SUM(I21:M21)</f>
        <v>741952.52999999991</v>
      </c>
      <c r="I21" s="212">
        <v>695434.69</v>
      </c>
      <c r="J21" s="212">
        <f>21518.65+3465.33</f>
        <v>24983.980000000003</v>
      </c>
      <c r="K21" s="212">
        <f>6541.67+1053.46</f>
        <v>7595.13</v>
      </c>
      <c r="L21" s="212">
        <v>12738.73</v>
      </c>
      <c r="M21" s="212">
        <v>1200</v>
      </c>
      <c r="N21" s="211">
        <f t="shared" si="1"/>
        <v>-724131.24999999988</v>
      </c>
      <c r="O21" s="142"/>
      <c r="P21" s="129"/>
      <c r="Q21" s="222" t="s">
        <v>296</v>
      </c>
    </row>
    <row r="22" spans="1:19">
      <c r="A22" s="157" t="s">
        <v>373</v>
      </c>
      <c r="B22" s="157">
        <v>2156001</v>
      </c>
      <c r="C22" s="157" t="s">
        <v>374</v>
      </c>
      <c r="D22" s="157">
        <v>73.63</v>
      </c>
      <c r="E22" s="157"/>
      <c r="F22" s="210">
        <v>17294.900000000001</v>
      </c>
      <c r="G22" s="210">
        <v>17294.900000000001</v>
      </c>
      <c r="H22" s="211">
        <f t="shared" ref="H22:H103" si="2">SUM(I22:M22)</f>
        <v>8500</v>
      </c>
      <c r="I22" s="212"/>
      <c r="J22" s="212"/>
      <c r="K22" s="212"/>
      <c r="L22" s="212"/>
      <c r="M22" s="212">
        <v>8500</v>
      </c>
      <c r="N22" s="211">
        <f t="shared" si="1"/>
        <v>8794.9000000000015</v>
      </c>
      <c r="O22" s="140"/>
      <c r="P22" s="141"/>
      <c r="Q22" s="213"/>
    </row>
    <row r="23" spans="1:19">
      <c r="A23" s="157" t="s">
        <v>375</v>
      </c>
      <c r="B23" s="273">
        <v>5616001</v>
      </c>
      <c r="C23" s="157" t="s">
        <v>376</v>
      </c>
      <c r="D23" s="159">
        <v>149.80000000000001</v>
      </c>
      <c r="E23" s="157"/>
      <c r="F23" s="210">
        <v>17821.28</v>
      </c>
      <c r="G23" s="210">
        <v>8019.57</v>
      </c>
      <c r="H23" s="211">
        <v>830662.9806878306</v>
      </c>
      <c r="I23" s="212">
        <v>484778.74</v>
      </c>
      <c r="J23" s="212">
        <f>23713.97+10071.47+84805.59+30327.15+12954.65+3710.26</f>
        <v>165583.09</v>
      </c>
      <c r="K23" s="212">
        <f>7209.05+3061.73+25780.9+9219.45+3938.21+1127.92</f>
        <v>50337.26</v>
      </c>
      <c r="L23" s="212">
        <v>27327.14</v>
      </c>
      <c r="M23" s="212">
        <v>354700</v>
      </c>
      <c r="N23" s="219">
        <v>-816990.57010581996</v>
      </c>
      <c r="O23" s="140">
        <v>0.57999999999999996</v>
      </c>
      <c r="P23" s="141" t="s">
        <v>515</v>
      </c>
      <c r="Q23" s="213" t="s">
        <v>82</v>
      </c>
      <c r="R23" s="136">
        <f>O23/(O23+O24)</f>
        <v>0.7671957671957671</v>
      </c>
      <c r="S23" s="136">
        <f>H23*R23</f>
        <v>637281.12274992291</v>
      </c>
    </row>
    <row r="24" spans="1:19">
      <c r="A24" s="157"/>
      <c r="B24" s="273">
        <v>5616001</v>
      </c>
      <c r="C24" s="157" t="s">
        <v>376</v>
      </c>
      <c r="D24" s="159">
        <v>149.80000000000001</v>
      </c>
      <c r="E24" s="157"/>
      <c r="F24" s="210">
        <v>17821.28</v>
      </c>
      <c r="G24" s="210">
        <v>8019.57</v>
      </c>
      <c r="H24" s="211">
        <v>252063.2493121693</v>
      </c>
      <c r="I24" s="212">
        <v>484778.74</v>
      </c>
      <c r="J24" s="212">
        <f>23713.97+10071.47+84805.59+30327.15+12954.65+3710.26</f>
        <v>165583.09</v>
      </c>
      <c r="K24" s="212">
        <f>7209.05+3061.73+25780.9+9219.45+3938.21+1127.92</f>
        <v>50337.26</v>
      </c>
      <c r="L24" s="212">
        <v>27327.14</v>
      </c>
      <c r="M24" s="212">
        <v>354700</v>
      </c>
      <c r="N24" s="219">
        <v>-247914.37989417987</v>
      </c>
      <c r="O24" s="140">
        <v>0.17599999999999999</v>
      </c>
      <c r="P24" s="141" t="s">
        <v>516</v>
      </c>
      <c r="Q24" s="213" t="s">
        <v>82</v>
      </c>
      <c r="R24" s="136">
        <f>O24/(O23+O24)</f>
        <v>0.23280423280423279</v>
      </c>
      <c r="S24" s="136">
        <f>H23*R24</f>
        <v>193381.85793790765</v>
      </c>
    </row>
    <row r="25" spans="1:19">
      <c r="A25" s="157" t="s">
        <v>377</v>
      </c>
      <c r="B25" s="273">
        <v>5616001</v>
      </c>
      <c r="C25" s="157" t="s">
        <v>376</v>
      </c>
      <c r="D25" s="159">
        <v>149.80000000000001</v>
      </c>
      <c r="E25" s="157"/>
      <c r="F25" s="210">
        <v>17821.28</v>
      </c>
      <c r="G25" s="210">
        <v>8019.57</v>
      </c>
      <c r="H25" s="211">
        <f t="shared" si="2"/>
        <v>346499.64</v>
      </c>
      <c r="I25" s="212">
        <v>236524.04</v>
      </c>
      <c r="J25" s="212">
        <f>23713.97+10071.47+15425.32+10184.21+6477.32+2489.68</f>
        <v>68361.97</v>
      </c>
      <c r="K25" s="212">
        <f>7209.05+3061.73+4689.3+3096+1969.11+756.86</f>
        <v>20782.050000000003</v>
      </c>
      <c r="L25" s="212">
        <v>16831.580000000002</v>
      </c>
      <c r="M25" s="212">
        <v>4000</v>
      </c>
      <c r="N25" s="211">
        <f t="shared" si="1"/>
        <v>-328678.36</v>
      </c>
      <c r="O25" s="140">
        <v>0.36</v>
      </c>
      <c r="P25" s="141" t="s">
        <v>366</v>
      </c>
      <c r="Q25" s="213" t="s">
        <v>82</v>
      </c>
    </row>
    <row r="26" spans="1:19" ht="31.5" customHeight="1">
      <c r="A26" s="157" t="s">
        <v>378</v>
      </c>
      <c r="B26" s="157">
        <v>5674001</v>
      </c>
      <c r="C26" s="157" t="s">
        <v>379</v>
      </c>
      <c r="D26" s="157">
        <v>102</v>
      </c>
      <c r="E26" s="157"/>
      <c r="F26" s="210">
        <v>17821.28</v>
      </c>
      <c r="G26" s="210">
        <v>17821.28</v>
      </c>
      <c r="H26" s="211">
        <f t="shared" si="2"/>
        <v>7000</v>
      </c>
      <c r="I26" s="212"/>
      <c r="J26" s="212"/>
      <c r="K26" s="212"/>
      <c r="L26" s="212"/>
      <c r="M26" s="212">
        <v>7000</v>
      </c>
      <c r="N26" s="211">
        <f t="shared" si="1"/>
        <v>10821.279999999999</v>
      </c>
      <c r="O26" s="140"/>
      <c r="P26" s="141"/>
      <c r="Q26" s="213"/>
    </row>
    <row r="27" spans="1:19">
      <c r="A27" s="157" t="s">
        <v>380</v>
      </c>
      <c r="B27" s="157">
        <v>5559001</v>
      </c>
      <c r="C27" s="157" t="s">
        <v>381</v>
      </c>
      <c r="D27" s="216">
        <v>15</v>
      </c>
      <c r="E27" s="157"/>
      <c r="F27" s="210">
        <v>550</v>
      </c>
      <c r="G27" s="210">
        <v>550</v>
      </c>
      <c r="H27" s="211">
        <f t="shared" si="2"/>
        <v>6000</v>
      </c>
      <c r="I27" s="212"/>
      <c r="J27" s="212"/>
      <c r="K27" s="212"/>
      <c r="L27" s="212"/>
      <c r="M27" s="212">
        <v>6000</v>
      </c>
      <c r="N27" s="211">
        <f t="shared" si="1"/>
        <v>-5450</v>
      </c>
      <c r="O27" s="140"/>
      <c r="P27" s="141"/>
      <c r="Q27" s="213"/>
    </row>
    <row r="28" spans="1:19">
      <c r="A28" s="157" t="s">
        <v>382</v>
      </c>
      <c r="B28" s="273">
        <v>846139</v>
      </c>
      <c r="C28" s="157" t="s">
        <v>149</v>
      </c>
      <c r="D28" s="159">
        <v>7.6</v>
      </c>
      <c r="E28" s="157"/>
      <c r="F28" s="210">
        <v>8038.24</v>
      </c>
      <c r="G28" s="210">
        <v>8038.24</v>
      </c>
      <c r="H28" s="211">
        <f t="shared" si="2"/>
        <v>26083.68</v>
      </c>
      <c r="I28" s="212">
        <v>12612.54</v>
      </c>
      <c r="J28" s="212">
        <f>4072.64+1656.28</f>
        <v>5728.92</v>
      </c>
      <c r="K28" s="212">
        <f>1238.08+503.51</f>
        <v>1741.59</v>
      </c>
      <c r="L28" s="212">
        <v>6000.63</v>
      </c>
      <c r="M28" s="212"/>
      <c r="N28" s="211">
        <f t="shared" si="1"/>
        <v>-18045.440000000002</v>
      </c>
      <c r="O28" s="140">
        <v>0.38500000000000001</v>
      </c>
      <c r="P28" s="141" t="s">
        <v>383</v>
      </c>
      <c r="Q28" s="213" t="s">
        <v>493</v>
      </c>
    </row>
    <row r="29" spans="1:19">
      <c r="A29" s="157" t="s">
        <v>384</v>
      </c>
      <c r="B29" s="273">
        <v>305002</v>
      </c>
      <c r="C29" s="157" t="s">
        <v>385</v>
      </c>
      <c r="D29" s="159">
        <v>15</v>
      </c>
      <c r="E29" s="157"/>
      <c r="F29" s="210">
        <v>60362.82</v>
      </c>
      <c r="G29" s="210">
        <v>27163.27</v>
      </c>
      <c r="H29" s="211">
        <f t="shared" si="2"/>
        <v>80928.3</v>
      </c>
      <c r="I29" s="212">
        <v>23029.81</v>
      </c>
      <c r="J29" s="212">
        <f>18855.98+9296.68</f>
        <v>28152.66</v>
      </c>
      <c r="K29" s="212">
        <f>5732.22+2826.19</f>
        <v>8558.41</v>
      </c>
      <c r="L29" s="212">
        <v>20187.419999999998</v>
      </c>
      <c r="M29" s="212">
        <v>1000</v>
      </c>
      <c r="N29" s="211">
        <f t="shared" si="1"/>
        <v>-20565.480000000003</v>
      </c>
      <c r="O29" s="140">
        <v>4.8000000000000001E-2</v>
      </c>
      <c r="P29" s="141" t="s">
        <v>128</v>
      </c>
      <c r="Q29" s="213" t="s">
        <v>82</v>
      </c>
    </row>
    <row r="30" spans="1:19">
      <c r="A30" s="157" t="s">
        <v>386</v>
      </c>
      <c r="B30" s="273">
        <v>305002</v>
      </c>
      <c r="C30" s="157" t="s">
        <v>385</v>
      </c>
      <c r="D30" s="159">
        <v>15</v>
      </c>
      <c r="E30" s="157"/>
      <c r="F30" s="210">
        <v>60362.82</v>
      </c>
      <c r="G30" s="210">
        <v>27163.27</v>
      </c>
      <c r="H30" s="211">
        <f t="shared" si="2"/>
        <v>182197.88999999998</v>
      </c>
      <c r="I30" s="212">
        <v>128627.43</v>
      </c>
      <c r="J30" s="212">
        <f>14900.91+6520.82+2717.65+654.27</f>
        <v>24793.65</v>
      </c>
      <c r="K30" s="212">
        <f>4529.88+1982.33+826.17+198.9</f>
        <v>7537.28</v>
      </c>
      <c r="L30" s="212">
        <f>17968.87+2270.66</f>
        <v>20239.53</v>
      </c>
      <c r="M30" s="212">
        <v>1000</v>
      </c>
      <c r="N30" s="211">
        <f t="shared" si="1"/>
        <v>-121835.06999999998</v>
      </c>
      <c r="O30" s="140">
        <v>0.42</v>
      </c>
      <c r="P30" s="197" t="s">
        <v>133</v>
      </c>
      <c r="Q30" s="213" t="s">
        <v>283</v>
      </c>
    </row>
    <row r="31" spans="1:19" ht="30">
      <c r="A31" s="157" t="s">
        <v>387</v>
      </c>
      <c r="B31" s="273">
        <v>3239007</v>
      </c>
      <c r="C31" s="157" t="s">
        <v>388</v>
      </c>
      <c r="D31" s="159">
        <v>50</v>
      </c>
      <c r="E31" s="157"/>
      <c r="F31" s="210">
        <v>17821.28</v>
      </c>
      <c r="G31" s="210">
        <v>8019.57</v>
      </c>
      <c r="H31" s="211">
        <f t="shared" si="2"/>
        <v>150775.59</v>
      </c>
      <c r="I31" s="212">
        <v>81602.12</v>
      </c>
      <c r="J31" s="212">
        <f>14889.41+14070.64</f>
        <v>28960.05</v>
      </c>
      <c r="K31" s="212">
        <f>4526.38+4277.47</f>
        <v>8803.85</v>
      </c>
      <c r="L31" s="212">
        <v>24909.57</v>
      </c>
      <c r="M31" s="212">
        <f>5500+1000</f>
        <v>6500</v>
      </c>
      <c r="N31" s="211">
        <f t="shared" si="1"/>
        <v>-132954.31</v>
      </c>
      <c r="O31" s="140">
        <v>0.21</v>
      </c>
      <c r="P31" s="141" t="s">
        <v>134</v>
      </c>
      <c r="Q31" s="213" t="s">
        <v>283</v>
      </c>
    </row>
    <row r="32" spans="1:19">
      <c r="A32" s="168" t="s">
        <v>389</v>
      </c>
      <c r="B32" s="272">
        <v>5685001</v>
      </c>
      <c r="C32" s="169" t="s">
        <v>390</v>
      </c>
      <c r="D32" s="159">
        <v>15</v>
      </c>
      <c r="E32" s="159"/>
      <c r="F32" s="160">
        <v>550</v>
      </c>
      <c r="G32" s="160">
        <v>550</v>
      </c>
      <c r="H32" s="211">
        <f t="shared" si="2"/>
        <v>133994.03000000003</v>
      </c>
      <c r="I32" s="160">
        <v>69116.990000000005</v>
      </c>
      <c r="J32" s="160">
        <f>9475.27+9849.43+4072.64+2391.02</f>
        <v>25788.36</v>
      </c>
      <c r="K32" s="160">
        <f>2880.48+2994.23+1238.08+726.87</f>
        <v>7839.66</v>
      </c>
      <c r="L32" s="160">
        <f>16195.49+9653.53</f>
        <v>25849.02</v>
      </c>
      <c r="M32" s="160">
        <v>5400</v>
      </c>
      <c r="N32" s="160">
        <f t="shared" si="1"/>
        <v>-133444.03000000003</v>
      </c>
      <c r="O32" s="131">
        <v>0.2</v>
      </c>
      <c r="P32" s="197" t="s">
        <v>134</v>
      </c>
      <c r="Q32" s="213" t="s">
        <v>49</v>
      </c>
    </row>
    <row r="33" spans="1:19">
      <c r="A33" s="168" t="s">
        <v>391</v>
      </c>
      <c r="B33" s="272">
        <v>3965001</v>
      </c>
      <c r="C33" s="169" t="s">
        <v>392</v>
      </c>
      <c r="D33" s="159">
        <v>150</v>
      </c>
      <c r="E33" s="159"/>
      <c r="F33" s="170">
        <v>60362.82</v>
      </c>
      <c r="G33" s="170">
        <v>60362.82</v>
      </c>
      <c r="H33" s="211">
        <v>128379.71965317919</v>
      </c>
      <c r="I33" s="160">
        <v>78664.36</v>
      </c>
      <c r="J33" s="160">
        <f>10563.47+9277.6+9014.74+3710.26</f>
        <v>32566.07</v>
      </c>
      <c r="K33" s="160">
        <f>3211.29+2820.39+2740.48+1127.92</f>
        <v>9900.08</v>
      </c>
      <c r="L33" s="160">
        <f>14498.9+7435.2</f>
        <v>21934.1</v>
      </c>
      <c r="M33" s="160">
        <v>5000</v>
      </c>
      <c r="N33" s="186">
        <v>-76042.014450867035</v>
      </c>
      <c r="O33" s="138">
        <v>0.15</v>
      </c>
      <c r="P33" s="169" t="s">
        <v>517</v>
      </c>
      <c r="Q33" s="213" t="s">
        <v>283</v>
      </c>
      <c r="R33" s="136">
        <f>O33/(O33+O34)</f>
        <v>0.86705202312138729</v>
      </c>
      <c r="S33" s="136">
        <f>H33*R33</f>
        <v>111311.89565304553</v>
      </c>
    </row>
    <row r="34" spans="1:19">
      <c r="A34" s="168"/>
      <c r="B34" s="272">
        <v>3965001</v>
      </c>
      <c r="C34" s="169" t="s">
        <v>392</v>
      </c>
      <c r="D34" s="159">
        <v>150</v>
      </c>
      <c r="E34" s="159"/>
      <c r="F34" s="170">
        <v>60362.82</v>
      </c>
      <c r="G34" s="170">
        <v>60362.82</v>
      </c>
      <c r="H34" s="211">
        <v>19684.890346820808</v>
      </c>
      <c r="I34" s="160">
        <v>78664.36</v>
      </c>
      <c r="J34" s="160">
        <f>10563.47+9277.6+9014.74+3710.26</f>
        <v>32566.07</v>
      </c>
      <c r="K34" s="160">
        <f>3211.29+2820.39+2740.48+1127.92</f>
        <v>9900.08</v>
      </c>
      <c r="L34" s="160">
        <f>14498.9+7435.2</f>
        <v>21934.1</v>
      </c>
      <c r="M34" s="160">
        <v>5000</v>
      </c>
      <c r="N34" s="186">
        <v>-11659.775549132946</v>
      </c>
      <c r="O34" s="138">
        <v>2.3E-2</v>
      </c>
      <c r="P34" s="169" t="s">
        <v>518</v>
      </c>
      <c r="Q34" s="213" t="s">
        <v>82</v>
      </c>
      <c r="R34" s="136">
        <f>O34/(O33+O34)</f>
        <v>0.13294797687861273</v>
      </c>
      <c r="S34" s="136">
        <f>H33*R34</f>
        <v>17067.824000133653</v>
      </c>
    </row>
    <row r="35" spans="1:19">
      <c r="A35" s="168" t="s">
        <v>393</v>
      </c>
      <c r="B35" s="272">
        <v>5673001</v>
      </c>
      <c r="C35" s="169" t="s">
        <v>335</v>
      </c>
      <c r="D35" s="161">
        <v>145</v>
      </c>
      <c r="E35" s="161"/>
      <c r="F35" s="170">
        <v>60362.82</v>
      </c>
      <c r="G35" s="170">
        <v>9054.42</v>
      </c>
      <c r="H35" s="211">
        <f t="shared" si="2"/>
        <v>106105.12</v>
      </c>
      <c r="I35" s="160">
        <v>75834.929999999993</v>
      </c>
      <c r="J35" s="160">
        <f>6249.04+6151.77</f>
        <v>12400.810000000001</v>
      </c>
      <c r="K35" s="160">
        <f>1899.71+1870.14</f>
        <v>3769.8500000000004</v>
      </c>
      <c r="L35" s="160">
        <v>14099.53</v>
      </c>
      <c r="M35" s="160"/>
      <c r="N35" s="160">
        <f t="shared" si="1"/>
        <v>-45742.299999999996</v>
      </c>
      <c r="O35" s="138">
        <v>0.33</v>
      </c>
      <c r="P35" s="169" t="s">
        <v>276</v>
      </c>
      <c r="Q35" s="213" t="s">
        <v>283</v>
      </c>
    </row>
    <row r="36" spans="1:19">
      <c r="A36" s="168" t="s">
        <v>394</v>
      </c>
      <c r="B36" s="272">
        <v>5628001</v>
      </c>
      <c r="C36" s="168" t="s">
        <v>395</v>
      </c>
      <c r="D36" s="159">
        <v>100</v>
      </c>
      <c r="E36" s="159"/>
      <c r="F36" s="160">
        <v>17821.28</v>
      </c>
      <c r="G36" s="160">
        <v>17821.28</v>
      </c>
      <c r="H36" s="211">
        <f t="shared" si="2"/>
        <v>323076.38000000006</v>
      </c>
      <c r="I36" s="160">
        <v>212288.92</v>
      </c>
      <c r="J36" s="160">
        <f>14916.26+5938.05+8671.77+2656.33+9591.1+5190.79</f>
        <v>46964.3</v>
      </c>
      <c r="K36" s="160">
        <f>4534.54+1805.17+2636.22+807.52+2915.69+1578</f>
        <v>14277.140000000001</v>
      </c>
      <c r="L36" s="160">
        <f>21838.21+9717.02+13490.79</f>
        <v>45046.020000000004</v>
      </c>
      <c r="M36" s="160">
        <f>3500+1000</f>
        <v>4500</v>
      </c>
      <c r="N36" s="160">
        <f t="shared" si="1"/>
        <v>-305255.10000000009</v>
      </c>
      <c r="O36" s="138">
        <v>0.46</v>
      </c>
      <c r="P36" s="169" t="s">
        <v>519</v>
      </c>
      <c r="Q36" s="213" t="s">
        <v>283</v>
      </c>
    </row>
    <row r="37" spans="1:19">
      <c r="A37" s="168" t="s">
        <v>396</v>
      </c>
      <c r="B37" s="197">
        <v>5561001</v>
      </c>
      <c r="C37" s="168" t="s">
        <v>397</v>
      </c>
      <c r="D37" s="159">
        <v>250</v>
      </c>
      <c r="E37" s="159"/>
      <c r="F37" s="160">
        <v>1582715.63</v>
      </c>
      <c r="G37" s="160">
        <v>949629.38</v>
      </c>
      <c r="H37" s="211">
        <f t="shared" si="2"/>
        <v>368480.44</v>
      </c>
      <c r="I37" s="160">
        <v>157883.49</v>
      </c>
      <c r="J37" s="160">
        <f>69413.94+23892.01</f>
        <v>93305.95</v>
      </c>
      <c r="K37" s="160">
        <f>21101.84+7263.17</f>
        <v>28365.010000000002</v>
      </c>
      <c r="L37" s="160">
        <v>25025.99</v>
      </c>
      <c r="M37" s="160">
        <f>62900+1000</f>
        <v>63900</v>
      </c>
      <c r="N37" s="160">
        <f t="shared" si="1"/>
        <v>1214235.19</v>
      </c>
      <c r="O37" s="131">
        <v>0.34399999999999997</v>
      </c>
      <c r="P37" s="197" t="s">
        <v>398</v>
      </c>
      <c r="Q37" s="213"/>
    </row>
    <row r="38" spans="1:19">
      <c r="A38" s="168"/>
      <c r="B38" s="272">
        <v>5628001</v>
      </c>
      <c r="C38" s="168" t="s">
        <v>395</v>
      </c>
      <c r="D38" s="159">
        <v>100</v>
      </c>
      <c r="E38" s="159"/>
      <c r="F38" s="160">
        <v>17821.28</v>
      </c>
      <c r="G38" s="160">
        <v>17821.28</v>
      </c>
      <c r="H38" s="211">
        <v>27495.862127659584</v>
      </c>
      <c r="I38" s="160">
        <v>212288.92</v>
      </c>
      <c r="J38" s="160">
        <f t="shared" ref="J38:J39" si="3">14916.26+5938.05+8671.77+2656.33+9591.1+5190.79</f>
        <v>46964.3</v>
      </c>
      <c r="K38" s="160">
        <f t="shared" ref="K38:K39" si="4">4534.54+1805.17+2636.22+807.52+2915.69+1578</f>
        <v>14277.140000000001</v>
      </c>
      <c r="L38" s="160">
        <f t="shared" ref="L38:L39" si="5">21838.21+9717.02+13490.79</f>
        <v>45046.020000000004</v>
      </c>
      <c r="M38" s="160">
        <f t="shared" ref="M38:M39" si="6">3500+1000</f>
        <v>4500</v>
      </c>
      <c r="N38" s="186">
        <v>-25979.157446808524</v>
      </c>
      <c r="O38" s="138">
        <v>0.02</v>
      </c>
      <c r="P38" s="169" t="s">
        <v>520</v>
      </c>
      <c r="Q38" s="213" t="s">
        <v>493</v>
      </c>
      <c r="R38" s="136">
        <f>O38/(O38+O39)</f>
        <v>8.5106382978723416E-2</v>
      </c>
      <c r="S38" s="136">
        <f>H38*R38</f>
        <v>2340.0733725667733</v>
      </c>
    </row>
    <row r="39" spans="1:19">
      <c r="A39" s="168"/>
      <c r="B39" s="272">
        <v>5628001</v>
      </c>
      <c r="C39" s="168" t="s">
        <v>395</v>
      </c>
      <c r="D39" s="159">
        <v>100</v>
      </c>
      <c r="E39" s="159"/>
      <c r="F39" s="160">
        <v>17821.28</v>
      </c>
      <c r="G39" s="160">
        <v>17821.28</v>
      </c>
      <c r="H39" s="211">
        <v>295580.51787234045</v>
      </c>
      <c r="I39" s="160">
        <v>212288.92</v>
      </c>
      <c r="J39" s="160">
        <f t="shared" si="3"/>
        <v>46964.3</v>
      </c>
      <c r="K39" s="160">
        <f t="shared" si="4"/>
        <v>14277.140000000001</v>
      </c>
      <c r="L39" s="160">
        <f t="shared" si="5"/>
        <v>45046.020000000004</v>
      </c>
      <c r="M39" s="160">
        <f t="shared" si="6"/>
        <v>4500</v>
      </c>
      <c r="N39" s="186">
        <v>-279275.94255319156</v>
      </c>
      <c r="O39" s="138">
        <v>0.215</v>
      </c>
      <c r="P39" s="169" t="s">
        <v>521</v>
      </c>
      <c r="Q39" s="213" t="s">
        <v>283</v>
      </c>
      <c r="R39" s="136">
        <f>O39/(O38+O39)</f>
        <v>0.91489361702127658</v>
      </c>
      <c r="S39" s="136">
        <f>H39*R39</f>
        <v>270424.72911724763</v>
      </c>
    </row>
    <row r="40" spans="1:19">
      <c r="A40" s="168" t="s">
        <v>399</v>
      </c>
      <c r="B40" s="272">
        <v>5673001</v>
      </c>
      <c r="C40" s="168" t="s">
        <v>335</v>
      </c>
      <c r="D40" s="159">
        <v>145</v>
      </c>
      <c r="E40" s="159"/>
      <c r="F40" s="160">
        <v>60362.82</v>
      </c>
      <c r="G40" s="160">
        <v>9054.42</v>
      </c>
      <c r="H40" s="211">
        <f t="shared" si="2"/>
        <v>96810.85</v>
      </c>
      <c r="I40" s="160">
        <v>26784.43</v>
      </c>
      <c r="J40" s="160">
        <f>25141.3+8968.49</f>
        <v>34109.79</v>
      </c>
      <c r="K40" s="160">
        <f>7642.96+2726.42</f>
        <v>10369.380000000001</v>
      </c>
      <c r="L40" s="160">
        <v>25547.25</v>
      </c>
      <c r="M40" s="160"/>
      <c r="N40" s="160">
        <f t="shared" si="1"/>
        <v>-36448.030000000006</v>
      </c>
      <c r="O40" s="131">
        <v>5.1999999999999998E-2</v>
      </c>
      <c r="P40" s="197" t="s">
        <v>128</v>
      </c>
      <c r="Q40" s="213" t="s">
        <v>82</v>
      </c>
    </row>
    <row r="41" spans="1:19">
      <c r="A41" s="168" t="s">
        <v>400</v>
      </c>
      <c r="B41" s="197">
        <v>5614001</v>
      </c>
      <c r="C41" s="168" t="s">
        <v>401</v>
      </c>
      <c r="D41" s="159">
        <v>50</v>
      </c>
      <c r="E41" s="159"/>
      <c r="F41" s="160">
        <v>17821.28</v>
      </c>
      <c r="G41" s="160">
        <v>15710.64</v>
      </c>
      <c r="H41" s="211">
        <v>118260.2473498233</v>
      </c>
      <c r="I41" s="160">
        <f>6277.08+35078.03+26893.91</f>
        <v>68249.02</v>
      </c>
      <c r="J41" s="160">
        <f>1357.55+1010.8+8145.29+1695.53+23713.97+9017.01</f>
        <v>44940.15</v>
      </c>
      <c r="K41" s="160">
        <f>412.69+307.28+2476.17+515.44+7209.05+2741.17</f>
        <v>13661.800000000001</v>
      </c>
      <c r="L41" s="160">
        <f>3950.78+5838.68+19697.82</f>
        <v>29487.279999999999</v>
      </c>
      <c r="M41" s="160">
        <v>11000</v>
      </c>
      <c r="N41" s="186">
        <v>-105665.703180212</v>
      </c>
      <c r="O41" s="138">
        <v>0.2</v>
      </c>
      <c r="P41" s="169" t="s">
        <v>522</v>
      </c>
      <c r="Q41" s="213" t="s">
        <v>493</v>
      </c>
      <c r="R41" s="136">
        <f>O41/(O41+O42)</f>
        <v>0.70671378091872783</v>
      </c>
      <c r="S41" s="136">
        <f>H41*R41</f>
        <v>83576.146536977583</v>
      </c>
    </row>
    <row r="42" spans="1:19">
      <c r="A42" s="168"/>
      <c r="B42" s="197">
        <v>5614001</v>
      </c>
      <c r="C42" s="168" t="s">
        <v>401</v>
      </c>
      <c r="D42" s="159">
        <v>50</v>
      </c>
      <c r="E42" s="159"/>
      <c r="F42" s="160">
        <v>17821.28</v>
      </c>
      <c r="G42" s="160">
        <v>15710.64</v>
      </c>
      <c r="H42" s="211">
        <v>49078.002650176677</v>
      </c>
      <c r="I42" s="160">
        <f>6277.08+35078.03+26893.91</f>
        <v>68249.02</v>
      </c>
      <c r="J42" s="160">
        <f>1357.55+1010.8+8145.29+1695.53+23713.97+9017.01</f>
        <v>44940.15</v>
      </c>
      <c r="K42" s="160">
        <f>412.69+307.28+2476.17+515.44+7209.05+2741.17</f>
        <v>13661.800000000001</v>
      </c>
      <c r="L42" s="160">
        <f>3950.78+5838.68+19697.82</f>
        <v>29487.279999999999</v>
      </c>
      <c r="M42" s="160">
        <v>11000</v>
      </c>
      <c r="N42" s="186">
        <v>-43851.266819787983</v>
      </c>
      <c r="O42" s="138">
        <v>8.3000000000000004E-2</v>
      </c>
      <c r="P42" s="169" t="s">
        <v>138</v>
      </c>
      <c r="Q42" s="213" t="s">
        <v>284</v>
      </c>
      <c r="R42" s="136">
        <f>O42/(O41+O42)</f>
        <v>0.29328621908127206</v>
      </c>
      <c r="S42" s="136">
        <f>H42*R42</f>
        <v>14393.901837330968</v>
      </c>
    </row>
    <row r="43" spans="1:19">
      <c r="A43" s="168" t="s">
        <v>402</v>
      </c>
      <c r="B43" s="272">
        <v>5369001</v>
      </c>
      <c r="C43" s="168" t="s">
        <v>403</v>
      </c>
      <c r="D43" s="159">
        <v>127</v>
      </c>
      <c r="E43" s="159"/>
      <c r="F43" s="160">
        <v>60362.82</v>
      </c>
      <c r="G43" s="160">
        <v>27163.27</v>
      </c>
      <c r="H43" s="211">
        <v>50065.015714285706</v>
      </c>
      <c r="I43" s="160">
        <f>44927.34+44900.42</f>
        <v>89827.76</v>
      </c>
      <c r="J43" s="160">
        <f>4160.91+1082.48+5984.23+1695.53</f>
        <v>12923.15</v>
      </c>
      <c r="K43" s="160">
        <f>1264.92+329.07+1819.21+515.44</f>
        <v>3928.64</v>
      </c>
      <c r="L43" s="160">
        <f>5033.44+5105.38</f>
        <v>10138.82</v>
      </c>
      <c r="M43" s="160"/>
      <c r="N43" s="186">
        <v>-24195.235714285707</v>
      </c>
      <c r="O43" s="138">
        <v>0.12</v>
      </c>
      <c r="P43" s="169" t="s">
        <v>523</v>
      </c>
      <c r="Q43" s="213" t="s">
        <v>525</v>
      </c>
      <c r="R43" s="136">
        <f>O43/(O43+O46+O47)</f>
        <v>0.42857142857142849</v>
      </c>
      <c r="S43" s="136">
        <f>H43*R43</f>
        <v>21456.435306122443</v>
      </c>
    </row>
    <row r="44" spans="1:19">
      <c r="A44" s="168" t="s">
        <v>404</v>
      </c>
      <c r="B44" s="197">
        <v>5586001</v>
      </c>
      <c r="C44" s="168" t="s">
        <v>405</v>
      </c>
      <c r="D44" s="159">
        <v>15</v>
      </c>
      <c r="E44" s="159"/>
      <c r="F44" s="160">
        <v>550</v>
      </c>
      <c r="G44" s="160">
        <v>550</v>
      </c>
      <c r="H44" s="211">
        <f t="shared" si="2"/>
        <v>23637.27</v>
      </c>
      <c r="I44" s="160">
        <v>11968.17</v>
      </c>
      <c r="J44" s="160">
        <f>2717.65+1675.81</f>
        <v>4393.46</v>
      </c>
      <c r="K44" s="160">
        <f>826.17+509.45</f>
        <v>1335.62</v>
      </c>
      <c r="L44" s="160">
        <v>5940.02</v>
      </c>
      <c r="M44" s="160"/>
      <c r="N44" s="160">
        <f t="shared" si="1"/>
        <v>-23087.27</v>
      </c>
      <c r="O44" s="131">
        <v>2.5000000000000001E-2</v>
      </c>
      <c r="P44" s="197" t="s">
        <v>131</v>
      </c>
      <c r="Q44" s="213" t="s">
        <v>48</v>
      </c>
      <c r="R44" s="136">
        <f>O46/(O43+O46+O47)</f>
        <v>0.21428571428571425</v>
      </c>
      <c r="S44" s="136">
        <f>H46*R44</f>
        <v>5364.1088265306107</v>
      </c>
    </row>
    <row r="45" spans="1:19">
      <c r="A45" s="168" t="s">
        <v>406</v>
      </c>
      <c r="B45" s="272">
        <v>4535002</v>
      </c>
      <c r="C45" s="168" t="s">
        <v>407</v>
      </c>
      <c r="D45" s="159">
        <v>15</v>
      </c>
      <c r="E45" s="159"/>
      <c r="F45" s="160">
        <v>550</v>
      </c>
      <c r="G45" s="160">
        <v>550</v>
      </c>
      <c r="H45" s="211">
        <f t="shared" si="2"/>
        <v>66792.070000000007</v>
      </c>
      <c r="I45" s="160">
        <v>35789.61</v>
      </c>
      <c r="J45" s="160">
        <f>7328.28+2975.38</f>
        <v>10303.66</v>
      </c>
      <c r="K45" s="160">
        <v>3132.3</v>
      </c>
      <c r="L45" s="160">
        <v>11066.5</v>
      </c>
      <c r="M45" s="160">
        <v>6500</v>
      </c>
      <c r="N45" s="160">
        <f t="shared" si="1"/>
        <v>-66242.070000000007</v>
      </c>
      <c r="O45" s="131">
        <v>7.4999999999999997E-2</v>
      </c>
      <c r="P45" s="197" t="s">
        <v>131</v>
      </c>
      <c r="Q45" s="213" t="s">
        <v>48</v>
      </c>
      <c r="R45" s="136">
        <f>O47/(O43+O46+O47)</f>
        <v>0.35714285714285715</v>
      </c>
      <c r="S45" s="136">
        <f>H47*R45</f>
        <v>14900.302295918367</v>
      </c>
    </row>
    <row r="46" spans="1:19">
      <c r="A46" s="168"/>
      <c r="B46" s="272">
        <v>5369001</v>
      </c>
      <c r="C46" s="168" t="s">
        <v>403</v>
      </c>
      <c r="D46" s="159">
        <v>127</v>
      </c>
      <c r="E46" s="159"/>
      <c r="F46" s="160">
        <v>60362.82</v>
      </c>
      <c r="G46" s="160">
        <v>27163.27</v>
      </c>
      <c r="H46" s="211">
        <v>25032.507857142853</v>
      </c>
      <c r="I46" s="160">
        <f t="shared" ref="I46:I47" si="7">44927.34+44900.42</f>
        <v>89827.76</v>
      </c>
      <c r="J46" s="160">
        <f t="shared" ref="J46:J47" si="8">4160.91+1082.48+5984.23+1695.53</f>
        <v>12923.15</v>
      </c>
      <c r="K46" s="160">
        <f t="shared" ref="K46:K47" si="9">1264.92+329.07+1819.21+515.44</f>
        <v>3928.64</v>
      </c>
      <c r="L46" s="160">
        <f t="shared" ref="L46:L47" si="10">5033.44+5105.38</f>
        <v>10138.82</v>
      </c>
      <c r="M46" s="160"/>
      <c r="N46" s="186">
        <v>-12097.617857142854</v>
      </c>
      <c r="O46" s="138">
        <v>0.06</v>
      </c>
      <c r="P46" s="169" t="s">
        <v>524</v>
      </c>
      <c r="Q46" s="213" t="s">
        <v>283</v>
      </c>
    </row>
    <row r="47" spans="1:19">
      <c r="A47" s="168"/>
      <c r="B47" s="272">
        <v>5369001</v>
      </c>
      <c r="C47" s="168" t="s">
        <v>403</v>
      </c>
      <c r="D47" s="159">
        <v>127</v>
      </c>
      <c r="E47" s="159"/>
      <c r="F47" s="160">
        <v>60362.82</v>
      </c>
      <c r="G47" s="160">
        <v>27163.27</v>
      </c>
      <c r="H47" s="211">
        <v>41720.846428571429</v>
      </c>
      <c r="I47" s="160">
        <f t="shared" si="7"/>
        <v>89827.76</v>
      </c>
      <c r="J47" s="160">
        <f t="shared" si="8"/>
        <v>12923.15</v>
      </c>
      <c r="K47" s="160">
        <f t="shared" si="9"/>
        <v>3928.64</v>
      </c>
      <c r="L47" s="160">
        <f t="shared" si="10"/>
        <v>10138.82</v>
      </c>
      <c r="M47" s="160"/>
      <c r="N47" s="186">
        <v>-20162.696428571428</v>
      </c>
      <c r="O47" s="138">
        <v>0.1</v>
      </c>
      <c r="P47" s="169" t="s">
        <v>135</v>
      </c>
      <c r="Q47" s="213" t="s">
        <v>283</v>
      </c>
    </row>
    <row r="48" spans="1:19">
      <c r="A48" s="168" t="s">
        <v>274</v>
      </c>
      <c r="B48" s="272">
        <v>5698001</v>
      </c>
      <c r="C48" s="168" t="s">
        <v>408</v>
      </c>
      <c r="D48" s="159">
        <v>50</v>
      </c>
      <c r="E48" s="159"/>
      <c r="F48" s="160">
        <v>47103.519999999997</v>
      </c>
      <c r="G48" s="160">
        <v>47103.519999999997</v>
      </c>
      <c r="H48" s="211">
        <f t="shared" si="2"/>
        <v>312771.01999999996</v>
      </c>
      <c r="I48" s="160">
        <v>249857.33</v>
      </c>
      <c r="J48" s="160">
        <f>20407.35+7225.09</f>
        <v>27632.44</v>
      </c>
      <c r="K48" s="160">
        <f>6203.83+2196.43</f>
        <v>8400.26</v>
      </c>
      <c r="L48" s="160">
        <v>21380.99</v>
      </c>
      <c r="M48" s="160">
        <v>5500</v>
      </c>
      <c r="N48" s="160">
        <f t="shared" si="1"/>
        <v>-265667.49999999994</v>
      </c>
      <c r="O48" s="131">
        <v>0.67</v>
      </c>
      <c r="P48" s="197" t="s">
        <v>409</v>
      </c>
      <c r="Q48" s="213" t="s">
        <v>283</v>
      </c>
    </row>
    <row r="49" spans="1:19" ht="30">
      <c r="A49" s="168" t="s">
        <v>410</v>
      </c>
      <c r="B49" s="272">
        <v>846140</v>
      </c>
      <c r="C49" s="168" t="s">
        <v>149</v>
      </c>
      <c r="D49" s="161">
        <v>40.200000000000003</v>
      </c>
      <c r="E49" s="161"/>
      <c r="F49" s="162">
        <v>8038.24</v>
      </c>
      <c r="G49" s="162">
        <v>8038.24</v>
      </c>
      <c r="H49" s="211">
        <f t="shared" si="2"/>
        <v>5319.46</v>
      </c>
      <c r="I49" s="162">
        <v>2099.08</v>
      </c>
      <c r="J49" s="162">
        <f>997.37+347.74</f>
        <v>1345.1100000000001</v>
      </c>
      <c r="K49" s="162">
        <f>303.2+105.71</f>
        <v>408.90999999999997</v>
      </c>
      <c r="L49" s="162">
        <v>1466.36</v>
      </c>
      <c r="M49" s="162"/>
      <c r="N49" s="160">
        <f t="shared" si="1"/>
        <v>2718.7799999999997</v>
      </c>
      <c r="O49" s="131">
        <v>7.1999999999999995E-2</v>
      </c>
      <c r="P49" s="141" t="s">
        <v>383</v>
      </c>
      <c r="Q49" s="213" t="s">
        <v>493</v>
      </c>
    </row>
    <row r="50" spans="1:19">
      <c r="A50" s="168" t="s">
        <v>411</v>
      </c>
      <c r="B50" s="197">
        <v>5678001</v>
      </c>
      <c r="C50" s="168" t="s">
        <v>412</v>
      </c>
      <c r="D50" s="159">
        <v>150</v>
      </c>
      <c r="E50" s="159"/>
      <c r="F50" s="160">
        <v>237789.43</v>
      </c>
      <c r="G50" s="160">
        <v>67411.199999999997</v>
      </c>
      <c r="H50" s="211">
        <f t="shared" si="2"/>
        <v>22000</v>
      </c>
      <c r="I50" s="160"/>
      <c r="J50" s="160"/>
      <c r="K50" s="160"/>
      <c r="L50" s="160"/>
      <c r="M50" s="160">
        <v>22000</v>
      </c>
      <c r="N50" s="160">
        <f t="shared" si="1"/>
        <v>215789.43</v>
      </c>
      <c r="O50" s="131"/>
      <c r="P50" s="197"/>
      <c r="Q50" s="213"/>
    </row>
    <row r="51" spans="1:19">
      <c r="A51" s="168" t="s">
        <v>271</v>
      </c>
      <c r="B51" s="272">
        <v>5719001</v>
      </c>
      <c r="C51" s="168" t="s">
        <v>413</v>
      </c>
      <c r="D51" s="159">
        <v>120</v>
      </c>
      <c r="E51" s="159"/>
      <c r="F51" s="160">
        <v>60362.82</v>
      </c>
      <c r="G51" s="160">
        <v>60362.82</v>
      </c>
      <c r="H51" s="211">
        <f t="shared" si="2"/>
        <v>48425.109999999993</v>
      </c>
      <c r="I51" s="160">
        <v>32365.98</v>
      </c>
      <c r="J51" s="160">
        <f>6704.59+1695.53</f>
        <v>8400.1200000000008</v>
      </c>
      <c r="K51" s="160">
        <f>2038.19+515.44</f>
        <v>2553.63</v>
      </c>
      <c r="L51" s="160">
        <v>5105.38</v>
      </c>
      <c r="M51" s="160"/>
      <c r="N51" s="160">
        <f t="shared" si="1"/>
        <v>11937.710000000006</v>
      </c>
      <c r="O51" s="138">
        <v>2.8000000000000001E-2</v>
      </c>
      <c r="P51" s="169" t="s">
        <v>526</v>
      </c>
      <c r="Q51" s="213" t="s">
        <v>283</v>
      </c>
    </row>
    <row r="52" spans="1:19" ht="30">
      <c r="A52" s="168" t="s">
        <v>414</v>
      </c>
      <c r="B52" s="275" t="s">
        <v>415</v>
      </c>
      <c r="C52" s="168" t="s">
        <v>416</v>
      </c>
      <c r="D52" s="159">
        <v>15</v>
      </c>
      <c r="E52" s="159"/>
      <c r="F52" s="160">
        <v>550</v>
      </c>
      <c r="G52" s="160">
        <v>550</v>
      </c>
      <c r="H52" s="211">
        <v>18074.0085</v>
      </c>
      <c r="I52" s="160">
        <v>74153.81</v>
      </c>
      <c r="J52" s="160">
        <f>1763.14+1358.54+14295.11+3916.46</f>
        <v>21333.25</v>
      </c>
      <c r="K52" s="160">
        <v>6485.32</v>
      </c>
      <c r="L52" s="160">
        <f>3231.96+9289.05</f>
        <v>12521.009999999998</v>
      </c>
      <c r="M52" s="160">
        <v>6000</v>
      </c>
      <c r="N52" s="186">
        <v>-17991.5085</v>
      </c>
      <c r="O52" s="138">
        <v>0.03</v>
      </c>
      <c r="P52" s="169" t="s">
        <v>500</v>
      </c>
      <c r="Q52" s="213" t="s">
        <v>48</v>
      </c>
      <c r="R52" s="136">
        <f>O52/(O52+O53)</f>
        <v>0.15</v>
      </c>
      <c r="S52" s="136">
        <f>H52*R52</f>
        <v>2711.101275</v>
      </c>
    </row>
    <row r="53" spans="1:19" ht="30">
      <c r="A53" s="168" t="s">
        <v>414</v>
      </c>
      <c r="B53" s="275" t="s">
        <v>415</v>
      </c>
      <c r="C53" s="168" t="s">
        <v>416</v>
      </c>
      <c r="D53" s="159">
        <v>15</v>
      </c>
      <c r="E53" s="159"/>
      <c r="F53" s="160">
        <v>550</v>
      </c>
      <c r="G53" s="160">
        <v>550</v>
      </c>
      <c r="H53" s="211">
        <v>102419.3815</v>
      </c>
      <c r="I53" s="160">
        <v>74153.81</v>
      </c>
      <c r="J53" s="160">
        <f>1763.14+1358.54+14295.11+3916.46</f>
        <v>21333.25</v>
      </c>
      <c r="K53" s="160">
        <v>6485.32</v>
      </c>
      <c r="L53" s="160">
        <f>3231.96+9289.05</f>
        <v>12521.009999999998</v>
      </c>
      <c r="M53" s="160">
        <v>6000</v>
      </c>
      <c r="N53" s="186">
        <v>-101951.8815</v>
      </c>
      <c r="O53" s="138">
        <v>0.17</v>
      </c>
      <c r="P53" s="169" t="s">
        <v>130</v>
      </c>
      <c r="Q53" s="213" t="s">
        <v>48</v>
      </c>
      <c r="R53" s="136">
        <f>O53/(O52+O53)</f>
        <v>0.85</v>
      </c>
      <c r="S53" s="136">
        <f>H53*R53</f>
        <v>87056.474275</v>
      </c>
    </row>
    <row r="54" spans="1:19">
      <c r="A54" s="168" t="s">
        <v>417</v>
      </c>
      <c r="B54" s="272">
        <v>5047004</v>
      </c>
      <c r="C54" s="168" t="s">
        <v>418</v>
      </c>
      <c r="D54" s="159">
        <v>15</v>
      </c>
      <c r="E54" s="159"/>
      <c r="F54" s="160">
        <v>36129.86</v>
      </c>
      <c r="G54" s="160">
        <v>36129.86</v>
      </c>
      <c r="H54" s="211">
        <f t="shared" si="2"/>
        <v>49573.36</v>
      </c>
      <c r="I54" s="160">
        <v>20397.97</v>
      </c>
      <c r="J54" s="160">
        <f>5984.23+2043.27+3046.66+1220.58+1994.74+1308.54</f>
        <v>15598.02</v>
      </c>
      <c r="K54" s="160">
        <v>4741.8100000000004</v>
      </c>
      <c r="L54" s="160">
        <f>5838.68+721.51+2275.37</f>
        <v>8835.5600000000013</v>
      </c>
      <c r="M54" s="160"/>
      <c r="N54" s="160">
        <f t="shared" si="1"/>
        <v>-13443.5</v>
      </c>
      <c r="O54" s="131">
        <v>0.255</v>
      </c>
      <c r="P54" s="197" t="s">
        <v>131</v>
      </c>
      <c r="Q54" s="213" t="s">
        <v>493</v>
      </c>
    </row>
    <row r="55" spans="1:19">
      <c r="A55" s="168"/>
      <c r="B55" s="272">
        <v>5719001</v>
      </c>
      <c r="C55" s="168" t="s">
        <v>413</v>
      </c>
      <c r="D55" s="159">
        <v>120</v>
      </c>
      <c r="E55" s="159"/>
      <c r="F55" s="160">
        <v>60362.82</v>
      </c>
      <c r="G55" s="160">
        <v>60362.82</v>
      </c>
      <c r="H55" s="211"/>
      <c r="I55" s="160">
        <v>32365.98</v>
      </c>
      <c r="J55" s="160">
        <f>6704.59+1695.53</f>
        <v>8400.1200000000008</v>
      </c>
      <c r="K55" s="160">
        <f>2038.19+515.44</f>
        <v>2553.63</v>
      </c>
      <c r="L55" s="160">
        <v>5105.38</v>
      </c>
      <c r="M55" s="160"/>
      <c r="N55" s="160">
        <f t="shared" ref="N55" si="11">F55-H55</f>
        <v>60362.82</v>
      </c>
      <c r="O55" s="138">
        <v>0.17</v>
      </c>
      <c r="P55" s="169" t="s">
        <v>527</v>
      </c>
      <c r="Q55" s="213" t="s">
        <v>283</v>
      </c>
    </row>
    <row r="56" spans="1:19">
      <c r="A56" s="168" t="s">
        <v>419</v>
      </c>
      <c r="B56" s="272">
        <v>5534005</v>
      </c>
      <c r="C56" s="168" t="s">
        <v>420</v>
      </c>
      <c r="D56" s="159">
        <v>80</v>
      </c>
      <c r="E56" s="159"/>
      <c r="F56" s="160">
        <v>60362.82</v>
      </c>
      <c r="G56" s="160">
        <v>27163.27</v>
      </c>
      <c r="H56" s="211">
        <v>353885.34862385318</v>
      </c>
      <c r="I56" s="160">
        <v>240237.93</v>
      </c>
      <c r="J56" s="160">
        <f>29192.39+16140.86+6477.32+2441.15+678.77+347.74</f>
        <v>55278.229999999996</v>
      </c>
      <c r="K56" s="160">
        <f>8874.49+4906.82+1969.11+742.11+206.35+105.71</f>
        <v>16804.589999999997</v>
      </c>
      <c r="L56" s="160">
        <f>42084.32+2899.86+1487.87</f>
        <v>46472.05</v>
      </c>
      <c r="M56" s="160">
        <v>13000</v>
      </c>
      <c r="N56" s="186">
        <v>-296429.91215596331</v>
      </c>
      <c r="O56" s="138">
        <v>0.83</v>
      </c>
      <c r="P56" s="169" t="s">
        <v>528</v>
      </c>
      <c r="Q56" s="213" t="s">
        <v>283</v>
      </c>
      <c r="R56" s="136">
        <f>O56/(O56+O58+O59)</f>
        <v>0.95183486238532111</v>
      </c>
      <c r="S56" s="136">
        <v>353885.34862385318</v>
      </c>
    </row>
    <row r="57" spans="1:19">
      <c r="A57" s="168" t="s">
        <v>274</v>
      </c>
      <c r="B57" s="272">
        <v>5696001</v>
      </c>
      <c r="C57" s="168" t="s">
        <v>421</v>
      </c>
      <c r="D57" s="159">
        <v>15</v>
      </c>
      <c r="E57" s="159"/>
      <c r="F57" s="160">
        <v>550</v>
      </c>
      <c r="G57" s="160">
        <v>550</v>
      </c>
      <c r="H57" s="211">
        <f t="shared" si="2"/>
        <v>42000.49</v>
      </c>
      <c r="I57" s="160">
        <v>19964.96</v>
      </c>
      <c r="J57" s="160">
        <f>6876.01+2023.56</f>
        <v>8899.57</v>
      </c>
      <c r="K57" s="160">
        <v>2705.45</v>
      </c>
      <c r="L57" s="160">
        <v>7930.51</v>
      </c>
      <c r="M57" s="160">
        <v>2500</v>
      </c>
      <c r="N57" s="160">
        <f t="shared" si="1"/>
        <v>-41450.49</v>
      </c>
      <c r="O57" s="131">
        <v>7.8E-2</v>
      </c>
      <c r="P57" s="197" t="s">
        <v>131</v>
      </c>
      <c r="Q57" s="213" t="s">
        <v>48</v>
      </c>
      <c r="R57" s="136">
        <f>O58/(O56+O59+O58)</f>
        <v>2.2935779816513763E-2</v>
      </c>
      <c r="S57" s="136">
        <v>8527.3577981651379</v>
      </c>
    </row>
    <row r="58" spans="1:19">
      <c r="A58" s="168"/>
      <c r="B58" s="272">
        <v>5534005</v>
      </c>
      <c r="C58" s="168" t="s">
        <v>420</v>
      </c>
      <c r="D58" s="159">
        <v>80</v>
      </c>
      <c r="E58" s="159"/>
      <c r="F58" s="160">
        <v>60362.82</v>
      </c>
      <c r="G58" s="160">
        <v>27163.27</v>
      </c>
      <c r="H58" s="211">
        <v>8527.3577981651379</v>
      </c>
      <c r="I58" s="160">
        <v>240237.93</v>
      </c>
      <c r="J58" s="160">
        <f>29192.39+16140.86+6477.32+2441.15+678.77+347.74</f>
        <v>55278.229999999996</v>
      </c>
      <c r="K58" s="160">
        <f>8874.49+4906.82+1969.11+742.11+206.35+105.71</f>
        <v>16804.589999999997</v>
      </c>
      <c r="L58" s="160">
        <f>42084.32+2899.86+1487.87</f>
        <v>46472.05</v>
      </c>
      <c r="M58" s="160">
        <v>13000</v>
      </c>
      <c r="N58" s="186">
        <v>-7142.8894495412842</v>
      </c>
      <c r="O58" s="138">
        <v>0.02</v>
      </c>
      <c r="P58" s="169" t="s">
        <v>529</v>
      </c>
      <c r="Q58" s="213" t="s">
        <v>284</v>
      </c>
      <c r="R58" s="136">
        <f>O59/(O56+O58+O59)</f>
        <v>2.5229357798165136E-2</v>
      </c>
      <c r="S58" s="136">
        <v>9380.09357798165</v>
      </c>
    </row>
    <row r="59" spans="1:19">
      <c r="A59" s="168"/>
      <c r="B59" s="272">
        <v>5534005</v>
      </c>
      <c r="C59" s="168" t="s">
        <v>420</v>
      </c>
      <c r="D59" s="159">
        <v>80</v>
      </c>
      <c r="E59" s="159"/>
      <c r="F59" s="160">
        <v>60362.82</v>
      </c>
      <c r="G59" s="160">
        <v>27163.27</v>
      </c>
      <c r="H59" s="211">
        <v>9380.09357798165</v>
      </c>
      <c r="I59" s="160">
        <v>240237.93</v>
      </c>
      <c r="J59" s="160">
        <f>29192.39+16140.86+6477.32+2441.15+678.77+347.74</f>
        <v>55278.229999999996</v>
      </c>
      <c r="K59" s="160">
        <f>8874.49+4906.82+1969.11+742.11+206.35+105.71</f>
        <v>16804.589999999997</v>
      </c>
      <c r="L59" s="160">
        <f>42084.32+2899.86+1487.87</f>
        <v>46472.05</v>
      </c>
      <c r="M59" s="160">
        <v>13000</v>
      </c>
      <c r="N59" s="186">
        <v>-7857.1783944954113</v>
      </c>
      <c r="O59" s="138">
        <v>2.1999999999999999E-2</v>
      </c>
      <c r="P59" s="169" t="s">
        <v>530</v>
      </c>
      <c r="Q59" s="213" t="s">
        <v>493</v>
      </c>
    </row>
    <row r="60" spans="1:19">
      <c r="A60" s="168" t="s">
        <v>422</v>
      </c>
      <c r="B60" s="272">
        <v>5628001</v>
      </c>
      <c r="C60" s="168" t="s">
        <v>395</v>
      </c>
      <c r="D60" s="159">
        <v>100</v>
      </c>
      <c r="E60" s="159"/>
      <c r="F60" s="160">
        <v>17821.28</v>
      </c>
      <c r="G60" s="160">
        <v>17821.28</v>
      </c>
      <c r="H60" s="211">
        <f t="shared" si="2"/>
        <v>82129.31</v>
      </c>
      <c r="I60" s="160">
        <v>29353.9</v>
      </c>
      <c r="J60" s="160">
        <f>23329.98+7650.86</f>
        <v>30980.84</v>
      </c>
      <c r="K60" s="160">
        <f>7092.31+2325.86</f>
        <v>9418.17</v>
      </c>
      <c r="L60" s="160">
        <v>12376.4</v>
      </c>
      <c r="M60" s="160"/>
      <c r="N60" s="160">
        <f t="shared" si="1"/>
        <v>-64308.03</v>
      </c>
      <c r="O60" s="131">
        <v>0.06</v>
      </c>
      <c r="P60" s="197" t="s">
        <v>128</v>
      </c>
      <c r="Q60" s="213" t="s">
        <v>82</v>
      </c>
    </row>
    <row r="61" spans="1:19">
      <c r="A61" s="168" t="s">
        <v>423</v>
      </c>
      <c r="B61" s="197">
        <v>5684001</v>
      </c>
      <c r="C61" s="168" t="s">
        <v>424</v>
      </c>
      <c r="D61" s="159">
        <v>80</v>
      </c>
      <c r="E61" s="159"/>
      <c r="F61" s="160">
        <v>60362.82</v>
      </c>
      <c r="G61" s="160">
        <v>60362.82</v>
      </c>
      <c r="H61" s="211">
        <f t="shared" si="2"/>
        <v>67075.44</v>
      </c>
      <c r="I61" s="160">
        <v>14300.03</v>
      </c>
      <c r="J61" s="160">
        <f>23329.98+7650.86</f>
        <v>30980.84</v>
      </c>
      <c r="K61" s="160">
        <f>7092.31+2325.86</f>
        <v>9418.17</v>
      </c>
      <c r="L61" s="160">
        <v>12376.4</v>
      </c>
      <c r="M61" s="160"/>
      <c r="N61" s="160">
        <f t="shared" si="1"/>
        <v>-6712.6200000000026</v>
      </c>
      <c r="O61" s="131">
        <v>4.4999999999999998E-2</v>
      </c>
      <c r="P61" s="197" t="s">
        <v>138</v>
      </c>
      <c r="Q61" s="213" t="s">
        <v>284</v>
      </c>
    </row>
    <row r="62" spans="1:19">
      <c r="A62" s="168" t="s">
        <v>425</v>
      </c>
      <c r="B62" s="272">
        <v>5625001</v>
      </c>
      <c r="C62" s="168" t="s">
        <v>363</v>
      </c>
      <c r="D62" s="159">
        <v>5</v>
      </c>
      <c r="E62" s="159"/>
      <c r="F62" s="160">
        <v>550</v>
      </c>
      <c r="G62" s="160">
        <v>550</v>
      </c>
      <c r="H62" s="211">
        <f t="shared" si="2"/>
        <v>103435.53</v>
      </c>
      <c r="I62" s="160">
        <v>28101.599999999999</v>
      </c>
      <c r="J62" s="160">
        <f>25141.3+12775.8</f>
        <v>37917.1</v>
      </c>
      <c r="K62" s="160">
        <f>7642.96+3883.84</f>
        <v>11526.8</v>
      </c>
      <c r="L62" s="160">
        <v>22440.03</v>
      </c>
      <c r="M62" s="160">
        <v>3450</v>
      </c>
      <c r="N62" s="160">
        <f t="shared" si="1"/>
        <v>-102885.53</v>
      </c>
      <c r="O62" s="131">
        <v>5.1999999999999998E-2</v>
      </c>
      <c r="P62" s="197" t="s">
        <v>128</v>
      </c>
      <c r="Q62" s="213" t="s">
        <v>53</v>
      </c>
    </row>
    <row r="63" spans="1:19">
      <c r="A63" s="168" t="s">
        <v>426</v>
      </c>
      <c r="B63" s="272">
        <v>5690001</v>
      </c>
      <c r="C63" s="168" t="s">
        <v>262</v>
      </c>
      <c r="D63" s="159">
        <v>100</v>
      </c>
      <c r="E63" s="159"/>
      <c r="F63" s="160">
        <v>102904.36</v>
      </c>
      <c r="G63" s="160">
        <v>46306.96</v>
      </c>
      <c r="H63" s="211">
        <v>27039.27269326683</v>
      </c>
      <c r="I63" s="160">
        <v>174657.21</v>
      </c>
      <c r="J63" s="160">
        <f>38563.3+16663.02</f>
        <v>55226.320000000007</v>
      </c>
      <c r="K63" s="160">
        <f>11723.24+5065.56</f>
        <v>16788.8</v>
      </c>
      <c r="L63" s="160">
        <v>30899.02</v>
      </c>
      <c r="M63" s="160">
        <v>238750</v>
      </c>
      <c r="N63" s="186">
        <v>-21650.266309226932</v>
      </c>
      <c r="O63" s="138">
        <v>2.1000000000000001E-2</v>
      </c>
      <c r="P63" s="169" t="s">
        <v>531</v>
      </c>
      <c r="Q63" s="213" t="s">
        <v>82</v>
      </c>
      <c r="R63" s="136">
        <f>O63/(O63+O65)</f>
        <v>5.2369077306733167E-2</v>
      </c>
      <c r="S63" s="136">
        <f>H63*R63</f>
        <v>1416.0217619915297</v>
      </c>
    </row>
    <row r="64" spans="1:19">
      <c r="A64" s="168" t="s">
        <v>427</v>
      </c>
      <c r="B64" s="197">
        <v>2467065</v>
      </c>
      <c r="C64" s="168" t="s">
        <v>227</v>
      </c>
      <c r="D64" s="159">
        <v>174</v>
      </c>
      <c r="E64" s="159"/>
      <c r="F64" s="160">
        <v>3118137.97</v>
      </c>
      <c r="G64" s="160">
        <v>1870882.78</v>
      </c>
      <c r="H64" s="211">
        <f t="shared" si="2"/>
        <v>323016.32000000001</v>
      </c>
      <c r="I64" s="160">
        <v>94466.17</v>
      </c>
      <c r="J64" s="160">
        <f>29147.95+14938.08+46275.96+15216.95</f>
        <v>105578.93999999999</v>
      </c>
      <c r="K64" s="160">
        <v>32095.98</v>
      </c>
      <c r="L64" s="160">
        <f>18673.51+26701.72</f>
        <v>45375.229999999996</v>
      </c>
      <c r="M64" s="160">
        <v>45500</v>
      </c>
      <c r="N64" s="160">
        <f t="shared" si="1"/>
        <v>2795121.6500000004</v>
      </c>
      <c r="O64" s="131">
        <v>0.124</v>
      </c>
      <c r="P64" s="197" t="s">
        <v>428</v>
      </c>
      <c r="Q64" s="213"/>
      <c r="R64" s="136">
        <f>O65/(O63+O65)</f>
        <v>0.94763092269326676</v>
      </c>
      <c r="S64" s="136">
        <f>H65*R64</f>
        <v>463658.82637545781</v>
      </c>
    </row>
    <row r="65" spans="1:19">
      <c r="A65" s="168"/>
      <c r="B65" s="272">
        <v>5690001</v>
      </c>
      <c r="C65" s="168" t="s">
        <v>262</v>
      </c>
      <c r="D65" s="159">
        <v>100</v>
      </c>
      <c r="E65" s="159"/>
      <c r="F65" s="160">
        <v>102904.36</v>
      </c>
      <c r="G65" s="160">
        <v>46306.96</v>
      </c>
      <c r="H65" s="211">
        <v>489282.07730673312</v>
      </c>
      <c r="I65" s="160">
        <v>174657.21</v>
      </c>
      <c r="J65" s="160">
        <f>38563.3+16663.02</f>
        <v>55226.320000000007</v>
      </c>
      <c r="K65" s="160">
        <f>11723.24+5065.56</f>
        <v>16788.8</v>
      </c>
      <c r="L65" s="160">
        <v>30899.02</v>
      </c>
      <c r="M65" s="160">
        <v>238750</v>
      </c>
      <c r="N65" s="186">
        <v>-391766.72369077301</v>
      </c>
      <c r="O65" s="138">
        <v>0.38</v>
      </c>
      <c r="P65" s="169" t="s">
        <v>138</v>
      </c>
      <c r="Q65" s="213" t="s">
        <v>284</v>
      </c>
    </row>
    <row r="66" spans="1:19">
      <c r="A66" s="168" t="s">
        <v>429</v>
      </c>
      <c r="B66" s="272">
        <v>5719001</v>
      </c>
      <c r="C66" s="168" t="s">
        <v>413</v>
      </c>
      <c r="D66" s="159">
        <v>120</v>
      </c>
      <c r="E66" s="159"/>
      <c r="F66" s="160">
        <v>60362.82</v>
      </c>
      <c r="G66" s="160">
        <v>60362.82</v>
      </c>
      <c r="H66" s="211">
        <v>210099.36840764325</v>
      </c>
      <c r="I66" s="160">
        <v>121065.45</v>
      </c>
      <c r="J66" s="160">
        <f>39523.28+11737.84+12570.65+4979.36</f>
        <v>68811.12999999999</v>
      </c>
      <c r="K66" s="160">
        <v>19772.37</v>
      </c>
      <c r="L66" s="160">
        <f>20398.85+3574.43</f>
        <v>23973.279999999999</v>
      </c>
      <c r="M66" s="160">
        <v>71800</v>
      </c>
      <c r="N66" s="186">
        <v>-168575.89987261142</v>
      </c>
      <c r="O66" s="138">
        <v>0.108</v>
      </c>
      <c r="P66" s="169" t="s">
        <v>531</v>
      </c>
      <c r="Q66" s="213" t="s">
        <v>82</v>
      </c>
    </row>
    <row r="67" spans="1:19">
      <c r="A67" s="168" t="s">
        <v>430</v>
      </c>
      <c r="B67" s="272">
        <v>5790001</v>
      </c>
      <c r="C67" s="168" t="s">
        <v>431</v>
      </c>
      <c r="D67" s="159">
        <v>15</v>
      </c>
      <c r="E67" s="159"/>
      <c r="F67" s="160">
        <v>550</v>
      </c>
      <c r="G67" s="160">
        <v>550</v>
      </c>
      <c r="H67" s="211">
        <v>17332.386363636364</v>
      </c>
      <c r="I67" s="160">
        <v>170583.43</v>
      </c>
      <c r="J67" s="160">
        <f>26738.78+16445.68</f>
        <v>43184.46</v>
      </c>
      <c r="K67" s="160">
        <f>8128.59+4999.49</f>
        <v>13128.08</v>
      </c>
      <c r="L67" s="160">
        <v>33522.78</v>
      </c>
      <c r="M67" s="160">
        <v>6500</v>
      </c>
      <c r="N67" s="186">
        <v>-17296.672077922081</v>
      </c>
      <c r="O67" s="138">
        <v>2.5000000000000001E-2</v>
      </c>
      <c r="P67" s="169" t="s">
        <v>501</v>
      </c>
      <c r="Q67" s="213" t="s">
        <v>102</v>
      </c>
      <c r="R67" s="136">
        <f>O67/(O67+O68)</f>
        <v>6.4935064935064943E-2</v>
      </c>
      <c r="S67" s="136">
        <f>H67*R67</f>
        <v>1125.4796340023615</v>
      </c>
    </row>
    <row r="68" spans="1:19">
      <c r="A68" s="168" t="s">
        <v>430</v>
      </c>
      <c r="B68" s="272">
        <v>5790001</v>
      </c>
      <c r="C68" s="168" t="s">
        <v>431</v>
      </c>
      <c r="D68" s="159">
        <v>15</v>
      </c>
      <c r="E68" s="159"/>
      <c r="F68" s="160">
        <v>550</v>
      </c>
      <c r="G68" s="160">
        <v>550</v>
      </c>
      <c r="H68" s="211">
        <v>249586.36363636362</v>
      </c>
      <c r="I68" s="160">
        <v>170583.43</v>
      </c>
      <c r="J68" s="160">
        <f>26738.78+16445.68</f>
        <v>43184.46</v>
      </c>
      <c r="K68" s="160">
        <f>8128.59+4999.49</f>
        <v>13128.08</v>
      </c>
      <c r="L68" s="160">
        <v>33522.78</v>
      </c>
      <c r="M68" s="160">
        <v>6500</v>
      </c>
      <c r="N68" s="186">
        <v>-249072.07792207791</v>
      </c>
      <c r="O68" s="138">
        <v>0.36</v>
      </c>
      <c r="P68" s="169" t="s">
        <v>285</v>
      </c>
      <c r="Q68" s="213" t="s">
        <v>49</v>
      </c>
      <c r="R68" s="136">
        <f>O68/(O67+O68)</f>
        <v>0.93506493506493504</v>
      </c>
      <c r="S68" s="136">
        <f>H67*R68</f>
        <v>16206.906729634002</v>
      </c>
    </row>
    <row r="69" spans="1:19">
      <c r="A69" s="168" t="s">
        <v>432</v>
      </c>
      <c r="B69" s="197">
        <v>3543003</v>
      </c>
      <c r="C69" s="168" t="s">
        <v>433</v>
      </c>
      <c r="D69" s="159">
        <v>15</v>
      </c>
      <c r="E69" s="159"/>
      <c r="F69" s="160">
        <v>550</v>
      </c>
      <c r="G69" s="160">
        <v>550</v>
      </c>
      <c r="H69" s="211">
        <v>17065.201999999994</v>
      </c>
      <c r="I69" s="160">
        <f>12680.63+1532.53</f>
        <v>14213.16</v>
      </c>
      <c r="J69" s="160">
        <f>8150.4+982.29+1248.92+919.58</f>
        <v>11301.189999999999</v>
      </c>
      <c r="K69" s="160">
        <f>1694.21+298.62+379.67+279.55</f>
        <v>2652.05</v>
      </c>
      <c r="L69" s="160">
        <f>2432.96+2468.93</f>
        <v>4901.8899999999994</v>
      </c>
      <c r="M69" s="160">
        <v>3500</v>
      </c>
      <c r="N69" s="186">
        <v>-16808.53533333333</v>
      </c>
      <c r="O69" s="138">
        <v>3.5000000000000003E-2</v>
      </c>
      <c r="P69" s="169" t="s">
        <v>502</v>
      </c>
      <c r="Q69" s="213" t="s">
        <v>279</v>
      </c>
      <c r="R69" s="136">
        <f>O69/(O69+O70)</f>
        <v>0.46666666666666662</v>
      </c>
      <c r="S69" s="136">
        <f>$H$69*R69</f>
        <v>7963.7609333333294</v>
      </c>
    </row>
    <row r="70" spans="1:19">
      <c r="A70" s="168" t="s">
        <v>432</v>
      </c>
      <c r="B70" s="197">
        <v>3543003</v>
      </c>
      <c r="C70" s="168" t="s">
        <v>433</v>
      </c>
      <c r="D70" s="159">
        <v>15</v>
      </c>
      <c r="E70" s="159"/>
      <c r="F70" s="160">
        <v>550</v>
      </c>
      <c r="G70" s="160">
        <v>550</v>
      </c>
      <c r="H70" s="211">
        <v>19503.087999999992</v>
      </c>
      <c r="I70" s="160">
        <f>12680.63+1532.53</f>
        <v>14213.16</v>
      </c>
      <c r="J70" s="160">
        <f>8150.4+982.29+1248.92+919.58</f>
        <v>11301.189999999999</v>
      </c>
      <c r="K70" s="160">
        <f>1694.21+298.62+379.67+279.55</f>
        <v>2652.05</v>
      </c>
      <c r="L70" s="160">
        <f>2432.96+2468.93</f>
        <v>4901.8899999999994</v>
      </c>
      <c r="M70" s="160">
        <v>3500</v>
      </c>
      <c r="N70" s="186">
        <v>-19209.75466666666</v>
      </c>
      <c r="O70" s="138">
        <v>0.04</v>
      </c>
      <c r="P70" s="169" t="s">
        <v>130</v>
      </c>
      <c r="Q70" s="213" t="s">
        <v>49</v>
      </c>
      <c r="R70" s="136">
        <f>O70/(O69+O70)</f>
        <v>0.53333333333333321</v>
      </c>
      <c r="S70" s="136">
        <f>$H$69*R70</f>
        <v>9101.4410666666608</v>
      </c>
    </row>
    <row r="71" spans="1:19">
      <c r="A71" s="168" t="s">
        <v>434</v>
      </c>
      <c r="B71" s="272">
        <v>5762001</v>
      </c>
      <c r="C71" s="168" t="s">
        <v>435</v>
      </c>
      <c r="D71" s="159">
        <v>15</v>
      </c>
      <c r="E71" s="159"/>
      <c r="F71" s="160">
        <v>550</v>
      </c>
      <c r="G71" s="160">
        <v>550</v>
      </c>
      <c r="H71" s="211">
        <f t="shared" si="2"/>
        <v>50070.869999999995</v>
      </c>
      <c r="I71" s="160">
        <f>27173.1+784.31</f>
        <v>27957.41</v>
      </c>
      <c r="J71" s="160">
        <f>4959.3+2310.37+678.77+347.74</f>
        <v>8296.18</v>
      </c>
      <c r="K71" s="160">
        <f>1764.64+206.35+105.71</f>
        <v>2076.6999999999998</v>
      </c>
      <c r="L71" s="160">
        <f>6490.38+750.2</f>
        <v>7240.58</v>
      </c>
      <c r="M71" s="160">
        <v>4500</v>
      </c>
      <c r="N71" s="160">
        <f t="shared" si="1"/>
        <v>-49520.869999999995</v>
      </c>
      <c r="O71" s="131">
        <v>3.7999999999999999E-2</v>
      </c>
      <c r="P71" s="197" t="s">
        <v>131</v>
      </c>
      <c r="Q71" s="213" t="s">
        <v>48</v>
      </c>
    </row>
    <row r="72" spans="1:19">
      <c r="A72" s="168"/>
      <c r="B72" s="272">
        <v>5719001</v>
      </c>
      <c r="C72" s="168" t="s">
        <v>413</v>
      </c>
      <c r="D72" s="159">
        <v>120</v>
      </c>
      <c r="E72" s="159"/>
      <c r="F72" s="160">
        <v>60362.82</v>
      </c>
      <c r="G72" s="160">
        <v>60362.82</v>
      </c>
      <c r="H72" s="211">
        <v>35016.561401273873</v>
      </c>
      <c r="I72" s="160">
        <v>121065.45</v>
      </c>
      <c r="J72" s="160">
        <f t="shared" ref="J72:J74" si="12">39523.28+11737.84+12570.65+4979.36</f>
        <v>68811.12999999999</v>
      </c>
      <c r="K72" s="160">
        <v>19772.37</v>
      </c>
      <c r="L72" s="160">
        <f t="shared" ref="L72:L74" si="13">20398.85+3574.43</f>
        <v>23973.279999999999</v>
      </c>
      <c r="M72" s="160">
        <v>71800</v>
      </c>
      <c r="N72" s="186">
        <v>-28095.9833121019</v>
      </c>
      <c r="O72" s="138">
        <v>1.7999999999999999E-2</v>
      </c>
      <c r="P72" s="169" t="s">
        <v>532</v>
      </c>
      <c r="Q72" s="213" t="s">
        <v>284</v>
      </c>
    </row>
    <row r="73" spans="1:19">
      <c r="A73" s="168"/>
      <c r="B73" s="272">
        <v>5719001</v>
      </c>
      <c r="C73" s="168" t="s">
        <v>413</v>
      </c>
      <c r="D73" s="159">
        <v>120</v>
      </c>
      <c r="E73" s="159"/>
      <c r="F73" s="160">
        <v>60362.82</v>
      </c>
      <c r="G73" s="160">
        <v>60362.82</v>
      </c>
      <c r="H73" s="211">
        <v>33071.196878980889</v>
      </c>
      <c r="I73" s="160">
        <v>121065.45</v>
      </c>
      <c r="J73" s="160">
        <f t="shared" si="12"/>
        <v>68811.12999999999</v>
      </c>
      <c r="K73" s="160">
        <v>19772.37</v>
      </c>
      <c r="L73" s="160">
        <f t="shared" si="13"/>
        <v>23973.279999999999</v>
      </c>
      <c r="M73" s="160">
        <v>71800</v>
      </c>
      <c r="N73" s="186">
        <v>-26535.095350318465</v>
      </c>
      <c r="O73" s="138">
        <v>1.7000000000000001E-2</v>
      </c>
      <c r="P73" s="169" t="s">
        <v>533</v>
      </c>
      <c r="Q73" s="213" t="s">
        <v>514</v>
      </c>
    </row>
    <row r="74" spans="1:19">
      <c r="A74" s="168"/>
      <c r="B74" s="197">
        <v>5719001</v>
      </c>
      <c r="C74" s="168" t="s">
        <v>413</v>
      </c>
      <c r="D74" s="159">
        <v>120</v>
      </c>
      <c r="E74" s="159"/>
      <c r="F74" s="160">
        <v>60362.82</v>
      </c>
      <c r="G74" s="160">
        <v>60362.82</v>
      </c>
      <c r="H74" s="211">
        <v>27235.103312101903</v>
      </c>
      <c r="I74" s="160">
        <v>121065.45</v>
      </c>
      <c r="J74" s="160">
        <f t="shared" si="12"/>
        <v>68811.12999999999</v>
      </c>
      <c r="K74" s="160">
        <v>19772.37</v>
      </c>
      <c r="L74" s="160">
        <f t="shared" si="13"/>
        <v>23973.279999999999</v>
      </c>
      <c r="M74" s="160">
        <v>71800</v>
      </c>
      <c r="N74" s="186">
        <v>-21852.431464968147</v>
      </c>
      <c r="O74" s="138">
        <v>1.4E-2</v>
      </c>
      <c r="P74" s="169" t="s">
        <v>534</v>
      </c>
      <c r="Q74" s="213" t="s">
        <v>536</v>
      </c>
    </row>
    <row r="75" spans="1:19">
      <c r="A75" s="168" t="s">
        <v>436</v>
      </c>
      <c r="B75" s="272">
        <v>5760001</v>
      </c>
      <c r="C75" s="168" t="s">
        <v>437</v>
      </c>
      <c r="D75" s="159">
        <v>150</v>
      </c>
      <c r="E75" s="159"/>
      <c r="F75" s="160">
        <v>46055.199999999997</v>
      </c>
      <c r="G75" s="160">
        <v>46055.199999999997</v>
      </c>
      <c r="H75" s="211">
        <f t="shared" si="2"/>
        <v>818885.19000000006</v>
      </c>
      <c r="I75" s="160">
        <v>234952.04</v>
      </c>
      <c r="J75" s="160">
        <f>44604.18+9038.61+4250.74+3613.88</f>
        <v>61507.409999999996</v>
      </c>
      <c r="K75" s="160">
        <f>9185.67+1902.4+1292.23+1604.04</f>
        <v>13984.34</v>
      </c>
      <c r="L75" s="160">
        <f>9535.04+4906.4</f>
        <v>14441.44</v>
      </c>
      <c r="M75" s="160">
        <v>493999.96</v>
      </c>
      <c r="N75" s="160">
        <f t="shared" si="1"/>
        <v>-772829.99000000011</v>
      </c>
      <c r="O75" s="131">
        <v>0.22</v>
      </c>
      <c r="P75" s="197" t="s">
        <v>366</v>
      </c>
      <c r="Q75" s="213" t="s">
        <v>82</v>
      </c>
    </row>
    <row r="76" spans="1:19">
      <c r="A76" s="168" t="s">
        <v>438</v>
      </c>
      <c r="B76" s="272">
        <v>5732001</v>
      </c>
      <c r="C76" s="168" t="s">
        <v>439</v>
      </c>
      <c r="D76" s="159">
        <v>15</v>
      </c>
      <c r="E76" s="159"/>
      <c r="F76" s="160">
        <v>550</v>
      </c>
      <c r="G76" s="160">
        <v>550</v>
      </c>
      <c r="H76" s="211">
        <f t="shared" si="2"/>
        <v>13009.82</v>
      </c>
      <c r="I76" s="160">
        <v>7421.05</v>
      </c>
      <c r="J76" s="160">
        <f>678.77+347.74</f>
        <v>1026.51</v>
      </c>
      <c r="K76" s="160">
        <f>206.35+105.71</f>
        <v>312.06</v>
      </c>
      <c r="L76" s="160">
        <v>750.2</v>
      </c>
      <c r="M76" s="160">
        <v>3500</v>
      </c>
      <c r="N76" s="160">
        <f t="shared" si="1"/>
        <v>-12459.82</v>
      </c>
      <c r="O76" s="131">
        <v>2.7E-2</v>
      </c>
      <c r="P76" s="197" t="s">
        <v>131</v>
      </c>
      <c r="Q76" s="213" t="s">
        <v>48</v>
      </c>
    </row>
    <row r="77" spans="1:19">
      <c r="A77" s="168" t="s">
        <v>440</v>
      </c>
      <c r="B77" s="272">
        <v>5774001</v>
      </c>
      <c r="C77" s="168" t="s">
        <v>441</v>
      </c>
      <c r="D77" s="159">
        <v>15</v>
      </c>
      <c r="E77" s="159"/>
      <c r="F77" s="160">
        <v>550</v>
      </c>
      <c r="G77" s="160">
        <v>550</v>
      </c>
      <c r="H77" s="211">
        <v>141328.81127098319</v>
      </c>
      <c r="I77" s="160">
        <v>95553.03</v>
      </c>
      <c r="J77" s="160">
        <f>27636.31+12410.06+3238.66+1226.11</f>
        <v>44511.14</v>
      </c>
      <c r="K77" s="160">
        <f>5774.65+2612+984.55+372.74</f>
        <v>9743.9399999999987</v>
      </c>
      <c r="L77" s="160">
        <f>4469.72+1303.56</f>
        <v>5773.2800000000007</v>
      </c>
      <c r="M77" s="160">
        <v>3700</v>
      </c>
      <c r="N77" s="186">
        <v>-140840.80167865707</v>
      </c>
      <c r="O77" s="138">
        <v>0.37</v>
      </c>
      <c r="P77" s="169" t="s">
        <v>503</v>
      </c>
      <c r="Q77" s="213" t="s">
        <v>48</v>
      </c>
      <c r="R77" s="136">
        <f>O77/(O77+O78)</f>
        <v>0.88729016786570747</v>
      </c>
      <c r="S77" s="136">
        <f>$H$77*R77</f>
        <v>125399.66467689157</v>
      </c>
    </row>
    <row r="78" spans="1:19">
      <c r="A78" s="168" t="s">
        <v>440</v>
      </c>
      <c r="B78" s="272">
        <v>5774001</v>
      </c>
      <c r="C78" s="168" t="s">
        <v>441</v>
      </c>
      <c r="D78" s="159">
        <v>15</v>
      </c>
      <c r="E78" s="159"/>
      <c r="F78" s="160">
        <v>550</v>
      </c>
      <c r="G78" s="160">
        <v>550</v>
      </c>
      <c r="H78" s="211">
        <v>17952.578729016786</v>
      </c>
      <c r="I78" s="160">
        <v>95553.03</v>
      </c>
      <c r="J78" s="160">
        <f>27636.31+12410.06+3238.66+1226.11</f>
        <v>44511.14</v>
      </c>
      <c r="K78" s="160">
        <f>5774.65+2612+984.55+372.74</f>
        <v>9743.9399999999987</v>
      </c>
      <c r="L78" s="160">
        <f>4469.72+1303.56</f>
        <v>5773.2800000000007</v>
      </c>
      <c r="M78" s="160">
        <v>3700</v>
      </c>
      <c r="N78" s="186">
        <v>-17890.588321342926</v>
      </c>
      <c r="O78" s="138">
        <v>4.7E-2</v>
      </c>
      <c r="P78" s="169" t="s">
        <v>504</v>
      </c>
      <c r="Q78" s="213" t="s">
        <v>279</v>
      </c>
      <c r="R78" s="136">
        <f>O78/(O77+O78)</f>
        <v>0.11270983213429257</v>
      </c>
      <c r="S78" s="136">
        <f>$H$77*R78</f>
        <v>15929.146594091631</v>
      </c>
    </row>
    <row r="79" spans="1:19" ht="33" customHeight="1">
      <c r="A79" s="168" t="s">
        <v>129</v>
      </c>
      <c r="B79" s="272">
        <v>5785001</v>
      </c>
      <c r="C79" s="168" t="s">
        <v>347</v>
      </c>
      <c r="D79" s="159">
        <v>15</v>
      </c>
      <c r="E79" s="159"/>
      <c r="F79" s="160">
        <v>550</v>
      </c>
      <c r="G79" s="160">
        <v>550</v>
      </c>
      <c r="H79" s="211">
        <v>22164.088695652175</v>
      </c>
      <c r="I79" s="160">
        <v>37320.44</v>
      </c>
      <c r="J79" s="160">
        <f>4959.3+2310.37</f>
        <v>7269.67</v>
      </c>
      <c r="K79" s="160">
        <f>1507.63+702.35</f>
        <v>2209.98</v>
      </c>
      <c r="L79" s="160">
        <v>3841.47</v>
      </c>
      <c r="M79" s="160">
        <v>6000</v>
      </c>
      <c r="N79" s="186">
        <v>-21948.871304347827</v>
      </c>
      <c r="O79" s="138">
        <v>4.4999999999999998E-2</v>
      </c>
      <c r="P79" s="169" t="s">
        <v>505</v>
      </c>
      <c r="Q79" s="213" t="s">
        <v>48</v>
      </c>
      <c r="R79" s="136">
        <f>O79/(O79+O81)</f>
        <v>0.39130434782608692</v>
      </c>
      <c r="S79" s="136">
        <v>22164.088695652175</v>
      </c>
    </row>
    <row r="80" spans="1:19">
      <c r="A80" s="168" t="s">
        <v>442</v>
      </c>
      <c r="B80" s="197">
        <v>4973001</v>
      </c>
      <c r="C80" s="168" t="s">
        <v>443</v>
      </c>
      <c r="D80" s="159">
        <v>75.099999999999994</v>
      </c>
      <c r="E80" s="159"/>
      <c r="F80" s="160">
        <v>8038.24</v>
      </c>
      <c r="G80" s="160">
        <v>8038.24</v>
      </c>
      <c r="H80" s="211">
        <f t="shared" si="2"/>
        <v>298577.24</v>
      </c>
      <c r="I80" s="160">
        <v>275333.33</v>
      </c>
      <c r="J80" s="160">
        <f>10759.32+2043.09</f>
        <v>12802.41</v>
      </c>
      <c r="K80" s="160">
        <f>3270.83+621.1</f>
        <v>3891.93</v>
      </c>
      <c r="L80" s="160">
        <v>6549.57</v>
      </c>
      <c r="M80" s="160"/>
      <c r="N80" s="160">
        <f t="shared" si="1"/>
        <v>-290539</v>
      </c>
      <c r="O80" s="131"/>
      <c r="P80" s="197"/>
      <c r="Q80" s="213"/>
      <c r="R80" s="136">
        <f>O81/(O79+O81)</f>
        <v>0.60869565217391308</v>
      </c>
      <c r="S80" s="136">
        <v>34477.471304347833</v>
      </c>
    </row>
    <row r="81" spans="1:19" ht="30">
      <c r="A81" s="168" t="s">
        <v>129</v>
      </c>
      <c r="B81" s="272">
        <v>5785001</v>
      </c>
      <c r="C81" s="168" t="s">
        <v>347</v>
      </c>
      <c r="D81" s="159">
        <v>15</v>
      </c>
      <c r="E81" s="159"/>
      <c r="F81" s="160">
        <v>550</v>
      </c>
      <c r="G81" s="160">
        <v>550</v>
      </c>
      <c r="H81" s="211">
        <v>34477.471304347833</v>
      </c>
      <c r="I81" s="160">
        <v>37320.44</v>
      </c>
      <c r="J81" s="160">
        <f>4959.3+2310.37</f>
        <v>7269.67</v>
      </c>
      <c r="K81" s="160">
        <f>1507.63+702.35</f>
        <v>2209.98</v>
      </c>
      <c r="L81" s="160">
        <v>3841.47</v>
      </c>
      <c r="M81" s="160">
        <v>6000</v>
      </c>
      <c r="N81" s="186">
        <v>-34142.688695652178</v>
      </c>
      <c r="O81" s="138">
        <v>7.0000000000000007E-2</v>
      </c>
      <c r="P81" s="169" t="s">
        <v>506</v>
      </c>
      <c r="Q81" s="213" t="s">
        <v>49</v>
      </c>
    </row>
    <row r="82" spans="1:19">
      <c r="A82" s="168" t="s">
        <v>137</v>
      </c>
      <c r="B82" s="272">
        <v>4996003</v>
      </c>
      <c r="C82" s="168" t="s">
        <v>444</v>
      </c>
      <c r="D82" s="159">
        <v>15</v>
      </c>
      <c r="E82" s="159"/>
      <c r="F82" s="160">
        <v>550</v>
      </c>
      <c r="G82" s="160">
        <v>550</v>
      </c>
      <c r="H82" s="211">
        <f t="shared" si="2"/>
        <v>43094.92</v>
      </c>
      <c r="I82" s="160">
        <v>17225.009999999998</v>
      </c>
      <c r="J82" s="160">
        <f>6714.81+2499.47</f>
        <v>9214.2800000000007</v>
      </c>
      <c r="K82" s="160">
        <f>2041.3+759.84</f>
        <v>2801.14</v>
      </c>
      <c r="L82" s="160">
        <v>8354.49</v>
      </c>
      <c r="M82" s="160">
        <v>5500</v>
      </c>
      <c r="N82" s="160">
        <f t="shared" si="1"/>
        <v>-42544.92</v>
      </c>
      <c r="O82" s="131">
        <v>0.06</v>
      </c>
      <c r="P82" s="197" t="s">
        <v>445</v>
      </c>
      <c r="Q82" s="213" t="s">
        <v>48</v>
      </c>
    </row>
    <row r="83" spans="1:19">
      <c r="A83" s="168" t="s">
        <v>446</v>
      </c>
      <c r="B83" s="197">
        <v>5824001</v>
      </c>
      <c r="C83" s="168" t="s">
        <v>447</v>
      </c>
      <c r="D83" s="159">
        <v>70</v>
      </c>
      <c r="E83" s="159"/>
      <c r="F83" s="160">
        <v>8038.24</v>
      </c>
      <c r="G83" s="160">
        <v>8038.24</v>
      </c>
      <c r="H83" s="211">
        <v>317181.71333333338</v>
      </c>
      <c r="I83" s="160">
        <v>237009.3</v>
      </c>
      <c r="J83" s="160">
        <f>27943.61+9720.3+9331.99+6818.06</f>
        <v>53813.96</v>
      </c>
      <c r="K83" s="160">
        <f>8494.86+2954.97+2836.93+1780.27</f>
        <v>16067.03</v>
      </c>
      <c r="L83" s="160">
        <f>22961.08+9986.18</f>
        <v>32947.26</v>
      </c>
      <c r="M83" s="160"/>
      <c r="N83" s="186">
        <v>-309679.35600000003</v>
      </c>
      <c r="O83" s="138">
        <v>0.84</v>
      </c>
      <c r="P83" s="169" t="s">
        <v>528</v>
      </c>
      <c r="Q83" s="213" t="s">
        <v>283</v>
      </c>
      <c r="R83" s="136">
        <f>O83/(O83+O85)</f>
        <v>0.93333333333333335</v>
      </c>
      <c r="S83" s="136">
        <v>317181.71333333338</v>
      </c>
    </row>
    <row r="84" spans="1:19">
      <c r="A84" s="168" t="s">
        <v>448</v>
      </c>
      <c r="B84" s="272">
        <v>5818001</v>
      </c>
      <c r="C84" s="168" t="s">
        <v>449</v>
      </c>
      <c r="D84" s="159">
        <v>15</v>
      </c>
      <c r="E84" s="159"/>
      <c r="F84" s="160">
        <v>550</v>
      </c>
      <c r="G84" s="160">
        <v>550</v>
      </c>
      <c r="H84" s="211">
        <f t="shared" si="2"/>
        <v>265506.5</v>
      </c>
      <c r="I84" s="160">
        <v>180773.41</v>
      </c>
      <c r="J84" s="160">
        <f>27729.34+11550.49</f>
        <v>39279.83</v>
      </c>
      <c r="K84" s="160">
        <f>8429.72+3511.35</f>
        <v>11941.07</v>
      </c>
      <c r="L84" s="160">
        <v>26012.19</v>
      </c>
      <c r="M84" s="160">
        <v>7500</v>
      </c>
      <c r="N84" s="160">
        <f t="shared" si="1"/>
        <v>-264956.5</v>
      </c>
      <c r="O84" s="131">
        <v>0.6</v>
      </c>
      <c r="P84" s="197" t="s">
        <v>234</v>
      </c>
      <c r="Q84" s="213" t="s">
        <v>48</v>
      </c>
      <c r="R84" s="136">
        <f>O85/(O83+O85)</f>
        <v>6.6666666666666666E-2</v>
      </c>
      <c r="S84" s="136">
        <v>22655.83666666667</v>
      </c>
    </row>
    <row r="85" spans="1:19">
      <c r="A85" s="168"/>
      <c r="B85" s="197">
        <v>5824001</v>
      </c>
      <c r="C85" s="168" t="s">
        <v>447</v>
      </c>
      <c r="D85" s="159">
        <v>70</v>
      </c>
      <c r="E85" s="159"/>
      <c r="F85" s="160">
        <v>8038.24</v>
      </c>
      <c r="G85" s="160">
        <v>8038.24</v>
      </c>
      <c r="H85" s="211">
        <v>22655.83666666667</v>
      </c>
      <c r="I85" s="160">
        <v>237009.3</v>
      </c>
      <c r="J85" s="160">
        <f>27943.61+9720.3+9331.99+6818.06</f>
        <v>53813.96</v>
      </c>
      <c r="K85" s="160">
        <f>8494.86+2954.97+2836.93+1780.27</f>
        <v>16067.03</v>
      </c>
      <c r="L85" s="160">
        <f>22961.08+9986.18</f>
        <v>32947.26</v>
      </c>
      <c r="M85" s="160"/>
      <c r="N85" s="186">
        <v>-22119.954000000005</v>
      </c>
      <c r="O85" s="138">
        <v>0.06</v>
      </c>
      <c r="P85" s="169" t="s">
        <v>501</v>
      </c>
      <c r="Q85" s="213" t="s">
        <v>284</v>
      </c>
    </row>
    <row r="86" spans="1:19">
      <c r="A86" s="168" t="s">
        <v>450</v>
      </c>
      <c r="B86" s="197">
        <v>3920002</v>
      </c>
      <c r="C86" s="168" t="s">
        <v>451</v>
      </c>
      <c r="D86" s="159">
        <v>70</v>
      </c>
      <c r="E86" s="159"/>
      <c r="F86" s="160">
        <v>55872.78</v>
      </c>
      <c r="G86" s="160">
        <v>55872.78</v>
      </c>
      <c r="H86" s="211">
        <v>284446.07500000001</v>
      </c>
      <c r="I86" s="160">
        <v>199795.71</v>
      </c>
      <c r="J86" s="160">
        <f>25931.38+10080.57+9331.99+4990.42</f>
        <v>50334.359999999993</v>
      </c>
      <c r="K86" s="160">
        <f>7883.14+3064.49+2836.93+1679.75</f>
        <v>15464.310000000001</v>
      </c>
      <c r="L86" s="160">
        <f>22302.41+5094.36</f>
        <v>27396.77</v>
      </c>
      <c r="M86" s="160">
        <v>11300</v>
      </c>
      <c r="N86" s="186">
        <v>-232217.17195652178</v>
      </c>
      <c r="O86" s="138">
        <v>0.43</v>
      </c>
      <c r="P86" s="169" t="s">
        <v>535</v>
      </c>
      <c r="Q86" s="213" t="s">
        <v>493</v>
      </c>
      <c r="R86" s="136">
        <f>O86/(O86+O99)</f>
        <v>0.93478260869565222</v>
      </c>
      <c r="S86" s="136">
        <v>284446.07500000001</v>
      </c>
    </row>
    <row r="87" spans="1:19">
      <c r="A87" s="168" t="s">
        <v>452</v>
      </c>
      <c r="B87" s="272">
        <v>5047004</v>
      </c>
      <c r="C87" s="168" t="s">
        <v>418</v>
      </c>
      <c r="D87" s="159">
        <v>15</v>
      </c>
      <c r="E87" s="159"/>
      <c r="F87" s="160">
        <v>36129.86</v>
      </c>
      <c r="G87" s="160">
        <v>36129.86</v>
      </c>
      <c r="H87" s="211">
        <f t="shared" si="2"/>
        <v>371817.78</v>
      </c>
      <c r="I87" s="160">
        <v>73207.509999999995</v>
      </c>
      <c r="J87" s="160">
        <f>21518.65+11808.48</f>
        <v>33327.130000000005</v>
      </c>
      <c r="K87" s="160">
        <f>4284.62+2054.75</f>
        <v>6339.37</v>
      </c>
      <c r="L87" s="160">
        <v>20443.88</v>
      </c>
      <c r="M87" s="160">
        <v>238499.89</v>
      </c>
      <c r="N87" s="160">
        <f t="shared" si="1"/>
        <v>-335687.92000000004</v>
      </c>
      <c r="O87" s="131">
        <v>0.215</v>
      </c>
      <c r="P87" s="197" t="s">
        <v>453</v>
      </c>
      <c r="Q87" s="270" t="s">
        <v>972</v>
      </c>
      <c r="R87" s="136">
        <f>O99/(O86+O99)</f>
        <v>6.5217391304347824E-2</v>
      </c>
      <c r="S87" s="136">
        <v>19845.075000000001</v>
      </c>
    </row>
    <row r="88" spans="1:19">
      <c r="A88" s="168" t="s">
        <v>454</v>
      </c>
      <c r="B88" s="272">
        <v>5809001</v>
      </c>
      <c r="C88" s="168" t="s">
        <v>455</v>
      </c>
      <c r="D88" s="159">
        <v>15</v>
      </c>
      <c r="E88" s="159"/>
      <c r="F88" s="160">
        <v>550</v>
      </c>
      <c r="G88" s="160">
        <v>550</v>
      </c>
      <c r="H88" s="211">
        <v>170047.56203007518</v>
      </c>
      <c r="I88" s="160">
        <v>216473.54</v>
      </c>
      <c r="J88" s="160">
        <f>20995.13+8760.32+7712.66+2495.21</f>
        <v>39963.32</v>
      </c>
      <c r="K88" s="160">
        <v>12148.87</v>
      </c>
      <c r="L88" s="160">
        <f>28610.12+4355.16</f>
        <v>32965.279999999999</v>
      </c>
      <c r="M88" s="160"/>
      <c r="N88" s="186">
        <v>-169737.41165413533</v>
      </c>
      <c r="O88" s="214">
        <v>0.3</v>
      </c>
      <c r="P88" s="215" t="s">
        <v>507</v>
      </c>
      <c r="Q88" s="213" t="s">
        <v>49</v>
      </c>
      <c r="R88" s="136">
        <f>O88/(O88+O89+O90)</f>
        <v>0.56390977443609014</v>
      </c>
      <c r="S88" s="136">
        <f>$H$88*R88</f>
        <v>95891.482347786732</v>
      </c>
    </row>
    <row r="89" spans="1:19">
      <c r="A89" s="168"/>
      <c r="B89" s="272">
        <v>5809001</v>
      </c>
      <c r="C89" s="168" t="s">
        <v>455</v>
      </c>
      <c r="D89" s="159">
        <v>15</v>
      </c>
      <c r="E89" s="159"/>
      <c r="F89" s="160">
        <v>550</v>
      </c>
      <c r="G89" s="160">
        <v>550</v>
      </c>
      <c r="H89" s="211">
        <v>113365.04135338345</v>
      </c>
      <c r="I89" s="160">
        <v>216473.54</v>
      </c>
      <c r="J89" s="160">
        <f t="shared" ref="J89:J90" si="14">20995.13+8760.32+7712.66+2495.21</f>
        <v>39963.32</v>
      </c>
      <c r="K89" s="160">
        <v>12148.87</v>
      </c>
      <c r="L89" s="160">
        <f t="shared" ref="L89:L90" si="15">28610.12+4355.16</f>
        <v>32965.279999999999</v>
      </c>
      <c r="M89" s="160"/>
      <c r="N89" s="186">
        <v>-113158.27443609023</v>
      </c>
      <c r="O89" s="214">
        <v>0.2</v>
      </c>
      <c r="P89" s="215" t="s">
        <v>508</v>
      </c>
      <c r="Q89" s="213" t="s">
        <v>48</v>
      </c>
      <c r="R89" s="136">
        <f>O89/(O88+O89+O90)</f>
        <v>0.37593984962406013</v>
      </c>
      <c r="S89" s="136">
        <f t="shared" ref="S89:S90" si="16">$H$88*R89</f>
        <v>63927.654898524495</v>
      </c>
    </row>
    <row r="90" spans="1:19">
      <c r="A90" s="168"/>
      <c r="B90" s="272">
        <v>5809001</v>
      </c>
      <c r="C90" s="168" t="s">
        <v>455</v>
      </c>
      <c r="D90" s="159">
        <v>15</v>
      </c>
      <c r="E90" s="159"/>
      <c r="F90" s="160">
        <v>550</v>
      </c>
      <c r="G90" s="160">
        <v>550</v>
      </c>
      <c r="H90" s="211">
        <v>18138.406616541353</v>
      </c>
      <c r="I90" s="160">
        <v>216473.54</v>
      </c>
      <c r="J90" s="160">
        <f t="shared" si="14"/>
        <v>39963.32</v>
      </c>
      <c r="K90" s="160">
        <v>12148.87</v>
      </c>
      <c r="L90" s="160">
        <f t="shared" si="15"/>
        <v>32965.279999999999</v>
      </c>
      <c r="M90" s="160"/>
      <c r="N90" s="186">
        <v>-18105.323909774437</v>
      </c>
      <c r="O90" s="214">
        <v>3.2000000000000001E-2</v>
      </c>
      <c r="P90" s="215" t="s">
        <v>509</v>
      </c>
      <c r="Q90" s="213" t="s">
        <v>53</v>
      </c>
      <c r="R90" s="136">
        <f>O90/(O88+O89+O90)</f>
        <v>6.0150375939849621E-2</v>
      </c>
      <c r="S90" s="136">
        <f t="shared" si="16"/>
        <v>10228.42478376392</v>
      </c>
    </row>
    <row r="91" spans="1:19">
      <c r="A91" s="168" t="s">
        <v>456</v>
      </c>
      <c r="B91" s="197">
        <v>5875001</v>
      </c>
      <c r="C91" s="168" t="s">
        <v>457</v>
      </c>
      <c r="D91" s="159">
        <v>15</v>
      </c>
      <c r="E91" s="159"/>
      <c r="F91" s="160">
        <v>550</v>
      </c>
      <c r="G91" s="160">
        <v>550</v>
      </c>
      <c r="H91" s="211">
        <v>52188.71801242236</v>
      </c>
      <c r="I91" s="160">
        <v>22500.15</v>
      </c>
      <c r="J91" s="160">
        <f>4785.99+2580.03+9331.99+3721.31</f>
        <v>20419.320000000003</v>
      </c>
      <c r="K91" s="160">
        <f>1454.94+784.33+2836.93+1131.28</f>
        <v>6207.48</v>
      </c>
      <c r="L91" s="160">
        <f>10282.57+5224.2</f>
        <v>15506.77</v>
      </c>
      <c r="M91" s="160"/>
      <c r="N91" s="186">
        <v>-41781.369082982907</v>
      </c>
      <c r="O91" s="138">
        <v>0.13</v>
      </c>
      <c r="P91" s="169" t="s">
        <v>510</v>
      </c>
      <c r="Q91" s="213" t="s">
        <v>48</v>
      </c>
      <c r="R91" s="136">
        <f>O91/(O91+O92)</f>
        <v>0.80745341614906829</v>
      </c>
      <c r="S91" s="136">
        <f>$H$91*R91</f>
        <v>42139.958643570848</v>
      </c>
    </row>
    <row r="92" spans="1:19">
      <c r="A92" s="168"/>
      <c r="B92" s="197">
        <v>5875001</v>
      </c>
      <c r="C92" s="168" t="s">
        <v>457</v>
      </c>
      <c r="D92" s="159">
        <v>15</v>
      </c>
      <c r="E92" s="159"/>
      <c r="F92" s="160">
        <v>550</v>
      </c>
      <c r="G92" s="160">
        <v>550</v>
      </c>
      <c r="H92" s="211">
        <v>12445.00198757764</v>
      </c>
      <c r="I92" s="160">
        <v>22500.15</v>
      </c>
      <c r="J92" s="160">
        <f>4785.99+2580.03+9331.99+3721.31</f>
        <v>20419.320000000003</v>
      </c>
      <c r="K92" s="160">
        <f>1454.94+784.33+2836.93+1131.28</f>
        <v>6207.48</v>
      </c>
      <c r="L92" s="160">
        <f>10282.57+5224.2</f>
        <v>15506.77</v>
      </c>
      <c r="M92" s="160"/>
      <c r="N92" s="186">
        <v>-9963.2495505574625</v>
      </c>
      <c r="O92" s="138">
        <v>3.1E-2</v>
      </c>
      <c r="P92" s="169" t="s">
        <v>511</v>
      </c>
      <c r="Q92" s="213" t="s">
        <v>279</v>
      </c>
      <c r="R92" s="136">
        <f>O92/(O91+O92)</f>
        <v>0.19254658385093168</v>
      </c>
      <c r="S92" s="136">
        <f>$H$91*R92</f>
        <v>10048.75936885151</v>
      </c>
    </row>
    <row r="93" spans="1:19">
      <c r="A93" s="168" t="s">
        <v>389</v>
      </c>
      <c r="B93" s="197">
        <v>5886001</v>
      </c>
      <c r="C93" s="168" t="s">
        <v>458</v>
      </c>
      <c r="D93" s="159">
        <v>15</v>
      </c>
      <c r="E93" s="159"/>
      <c r="F93" s="160">
        <v>550</v>
      </c>
      <c r="G93" s="160">
        <v>550</v>
      </c>
      <c r="H93" s="211">
        <f t="shared" si="2"/>
        <v>8338.92</v>
      </c>
      <c r="I93" s="160">
        <v>3794.77</v>
      </c>
      <c r="J93" s="160">
        <f>1080.53+853.14</f>
        <v>1933.67</v>
      </c>
      <c r="K93" s="160">
        <f>328.48+259.35</f>
        <v>587.83000000000004</v>
      </c>
      <c r="L93" s="160">
        <v>2022.65</v>
      </c>
      <c r="M93" s="160"/>
      <c r="N93" s="160">
        <f t="shared" si="1"/>
        <v>-7788.92</v>
      </c>
      <c r="O93" s="131">
        <v>4.4999999999999998E-2</v>
      </c>
      <c r="P93" s="197" t="s">
        <v>131</v>
      </c>
      <c r="Q93" s="213" t="s">
        <v>48</v>
      </c>
    </row>
    <row r="94" spans="1:19">
      <c r="A94" s="168" t="s">
        <v>275</v>
      </c>
      <c r="B94" s="272">
        <v>5968001</v>
      </c>
      <c r="C94" s="168" t="s">
        <v>459</v>
      </c>
      <c r="D94" s="159">
        <v>15</v>
      </c>
      <c r="E94" s="159"/>
      <c r="F94" s="160">
        <v>550</v>
      </c>
      <c r="G94" s="160">
        <v>550</v>
      </c>
      <c r="H94" s="211">
        <f t="shared" si="2"/>
        <v>9247.7199999999993</v>
      </c>
      <c r="I94" s="160">
        <v>4703.57</v>
      </c>
      <c r="J94" s="160">
        <f>1080.53+853.14</f>
        <v>1933.67</v>
      </c>
      <c r="K94" s="160">
        <f>328.48+259.35</f>
        <v>587.83000000000004</v>
      </c>
      <c r="L94" s="160">
        <v>2022.65</v>
      </c>
      <c r="M94" s="160"/>
      <c r="N94" s="160">
        <f t="shared" si="1"/>
        <v>-8697.7199999999993</v>
      </c>
      <c r="O94" s="138">
        <v>0.06</v>
      </c>
      <c r="P94" s="197" t="s">
        <v>131</v>
      </c>
      <c r="Q94" s="213" t="s">
        <v>48</v>
      </c>
    </row>
    <row r="95" spans="1:19">
      <c r="A95" s="168" t="s">
        <v>460</v>
      </c>
      <c r="B95" s="272">
        <v>5846001</v>
      </c>
      <c r="C95" s="168" t="s">
        <v>461</v>
      </c>
      <c r="D95" s="159">
        <v>15</v>
      </c>
      <c r="E95" s="159"/>
      <c r="F95" s="160">
        <v>550</v>
      </c>
      <c r="G95" s="160">
        <v>550</v>
      </c>
      <c r="H95" s="211">
        <f t="shared" si="2"/>
        <v>65961.489999999991</v>
      </c>
      <c r="I95" s="160">
        <v>33830.92</v>
      </c>
      <c r="J95" s="160">
        <f>6995.62+3510.27</f>
        <v>10505.89</v>
      </c>
      <c r="K95" s="160">
        <f>2126.67+1067.12</f>
        <v>3193.79</v>
      </c>
      <c r="L95" s="160">
        <v>12930.89</v>
      </c>
      <c r="M95" s="160">
        <v>5500</v>
      </c>
      <c r="N95" s="160">
        <f t="shared" si="1"/>
        <v>-65411.489999999991</v>
      </c>
      <c r="O95" s="131">
        <v>0.08</v>
      </c>
      <c r="P95" s="197" t="s">
        <v>131</v>
      </c>
      <c r="Q95" s="213" t="s">
        <v>48</v>
      </c>
    </row>
    <row r="96" spans="1:19">
      <c r="A96" s="168" t="s">
        <v>129</v>
      </c>
      <c r="B96" s="272">
        <v>5829001</v>
      </c>
      <c r="C96" s="168" t="s">
        <v>462</v>
      </c>
      <c r="D96" s="159">
        <v>15</v>
      </c>
      <c r="E96" s="159"/>
      <c r="F96" s="160">
        <v>550</v>
      </c>
      <c r="G96" s="160">
        <v>550</v>
      </c>
      <c r="H96" s="211">
        <f t="shared" si="2"/>
        <v>93000.73000000001</v>
      </c>
      <c r="I96" s="160">
        <v>49374.32</v>
      </c>
      <c r="J96" s="160">
        <f>10805.02+5395.79</f>
        <v>16200.810000000001</v>
      </c>
      <c r="K96" s="160">
        <f>3284.73+1640.32</f>
        <v>4925.05</v>
      </c>
      <c r="L96" s="160">
        <v>18000.55</v>
      </c>
      <c r="M96" s="160">
        <v>4500</v>
      </c>
      <c r="N96" s="160">
        <f t="shared" si="1"/>
        <v>-92450.73000000001</v>
      </c>
      <c r="O96" s="138">
        <v>0.2</v>
      </c>
      <c r="P96" s="197" t="s">
        <v>445</v>
      </c>
      <c r="Q96" s="213" t="s">
        <v>48</v>
      </c>
    </row>
    <row r="97" spans="1:17">
      <c r="A97" s="168" t="s">
        <v>129</v>
      </c>
      <c r="B97" s="197">
        <v>5901001</v>
      </c>
      <c r="C97" s="168" t="s">
        <v>463</v>
      </c>
      <c r="D97" s="159">
        <v>15</v>
      </c>
      <c r="E97" s="159"/>
      <c r="F97" s="160">
        <v>550</v>
      </c>
      <c r="G97" s="160">
        <v>550</v>
      </c>
      <c r="H97" s="211">
        <f t="shared" si="2"/>
        <v>24487.93</v>
      </c>
      <c r="I97" s="160">
        <v>9591.2999999999993</v>
      </c>
      <c r="J97" s="160">
        <f>2891.42+1363.91</f>
        <v>4255.33</v>
      </c>
      <c r="K97" s="160">
        <f>878.99+414.63</f>
        <v>1293.6199999999999</v>
      </c>
      <c r="L97" s="160">
        <v>4347.68</v>
      </c>
      <c r="M97" s="160">
        <v>5000</v>
      </c>
      <c r="N97" s="160">
        <f t="shared" ref="N97:N115" si="17">F97-H97</f>
        <v>-23937.93</v>
      </c>
      <c r="O97" s="131">
        <v>0.03</v>
      </c>
      <c r="P97" s="197" t="s">
        <v>131</v>
      </c>
      <c r="Q97" s="213" t="s">
        <v>48</v>
      </c>
    </row>
    <row r="98" spans="1:17" ht="30.75" customHeight="1">
      <c r="A98" s="168" t="s">
        <v>464</v>
      </c>
      <c r="B98" s="197">
        <v>846151</v>
      </c>
      <c r="C98" s="168" t="s">
        <v>149</v>
      </c>
      <c r="D98" s="159">
        <v>11.9</v>
      </c>
      <c r="E98" s="159"/>
      <c r="F98" s="160">
        <v>8038.24</v>
      </c>
      <c r="G98" s="160">
        <v>8038.24</v>
      </c>
      <c r="H98" s="211">
        <f t="shared" si="2"/>
        <v>16721.54</v>
      </c>
      <c r="I98" s="160">
        <v>12568.44</v>
      </c>
      <c r="J98" s="160">
        <f>1274.39+695.49</f>
        <v>1969.88</v>
      </c>
      <c r="K98" s="160">
        <f>387.42+211.43</f>
        <v>598.85</v>
      </c>
      <c r="L98" s="160">
        <v>1584.37</v>
      </c>
      <c r="M98" s="160"/>
      <c r="N98" s="160">
        <f t="shared" si="17"/>
        <v>-8683.3000000000011</v>
      </c>
      <c r="O98" s="131">
        <v>0.17</v>
      </c>
      <c r="P98" s="197" t="s">
        <v>131</v>
      </c>
      <c r="Q98" s="213" t="s">
        <v>493</v>
      </c>
    </row>
    <row r="99" spans="1:17" ht="30.75" customHeight="1">
      <c r="A99" s="168"/>
      <c r="B99" s="197">
        <v>3920002</v>
      </c>
      <c r="C99" s="168" t="s">
        <v>451</v>
      </c>
      <c r="D99" s="159">
        <v>70</v>
      </c>
      <c r="E99" s="159"/>
      <c r="F99" s="160">
        <v>55872.78</v>
      </c>
      <c r="G99" s="160">
        <v>55872.78</v>
      </c>
      <c r="H99" s="211">
        <v>19845.075000000001</v>
      </c>
      <c r="I99" s="160">
        <v>199795.71</v>
      </c>
      <c r="J99" s="160">
        <f>25931.38+10080.57+9331.99+4990.42</f>
        <v>50334.359999999993</v>
      </c>
      <c r="K99" s="160">
        <f>7883.14+3064.49+2836.93+1679.75</f>
        <v>15464.310000000001</v>
      </c>
      <c r="L99" s="160">
        <f>22302.41+5094.36</f>
        <v>27396.77</v>
      </c>
      <c r="M99" s="160">
        <v>11300</v>
      </c>
      <c r="N99" s="186">
        <v>-16201.198043478262</v>
      </c>
      <c r="O99" s="138">
        <v>0.03</v>
      </c>
      <c r="P99" s="169" t="s">
        <v>138</v>
      </c>
      <c r="Q99" s="213" t="s">
        <v>284</v>
      </c>
    </row>
    <row r="100" spans="1:17">
      <c r="A100" s="168" t="s">
        <v>465</v>
      </c>
      <c r="B100" s="272">
        <v>1876002</v>
      </c>
      <c r="C100" s="168" t="s">
        <v>466</v>
      </c>
      <c r="D100" s="159">
        <v>100</v>
      </c>
      <c r="E100" s="159"/>
      <c r="F100" s="160">
        <v>46055.199999999997</v>
      </c>
      <c r="G100" s="160">
        <v>20724.84</v>
      </c>
      <c r="H100" s="211">
        <f t="shared" si="2"/>
        <v>394001.85</v>
      </c>
      <c r="I100" s="160">
        <v>98308.21</v>
      </c>
      <c r="J100" s="160">
        <f>18855.98+8323.83</f>
        <v>27179.809999999998</v>
      </c>
      <c r="K100" s="160">
        <f>5732.22+2530.45</f>
        <v>8262.67</v>
      </c>
      <c r="L100" s="160">
        <v>22751.18</v>
      </c>
      <c r="M100" s="160">
        <v>237499.98</v>
      </c>
      <c r="N100" s="160">
        <f t="shared" si="17"/>
        <v>-347946.64999999997</v>
      </c>
      <c r="O100" s="138">
        <v>0.11</v>
      </c>
      <c r="P100" s="169" t="s">
        <v>128</v>
      </c>
      <c r="Q100" s="213" t="s">
        <v>82</v>
      </c>
    </row>
    <row r="101" spans="1:17">
      <c r="A101" s="168" t="s">
        <v>467</v>
      </c>
      <c r="B101" s="197">
        <v>5802001</v>
      </c>
      <c r="C101" s="168" t="s">
        <v>468</v>
      </c>
      <c r="D101" s="159">
        <v>88</v>
      </c>
      <c r="E101" s="159"/>
      <c r="F101" s="160">
        <v>8038.24</v>
      </c>
      <c r="G101" s="160">
        <v>8038.24</v>
      </c>
      <c r="H101" s="211">
        <f t="shared" si="2"/>
        <v>568489.91999999993</v>
      </c>
      <c r="I101" s="160">
        <v>185042.02</v>
      </c>
      <c r="J101" s="160">
        <f>67026.62+36459.46</f>
        <v>103486.07999999999</v>
      </c>
      <c r="K101" s="160">
        <f>20376.09+11083.68</f>
        <v>31459.77</v>
      </c>
      <c r="L101" s="160">
        <v>44502.05</v>
      </c>
      <c r="M101" s="160">
        <v>204000</v>
      </c>
      <c r="N101" s="160">
        <f t="shared" si="17"/>
        <v>-560451.67999999993</v>
      </c>
      <c r="O101" s="138">
        <v>0.27</v>
      </c>
      <c r="P101" s="169" t="s">
        <v>128</v>
      </c>
      <c r="Q101" s="213" t="s">
        <v>82</v>
      </c>
    </row>
    <row r="102" spans="1:17">
      <c r="A102" s="168" t="s">
        <v>469</v>
      </c>
      <c r="B102" s="197">
        <v>5853001</v>
      </c>
      <c r="C102" s="168"/>
      <c r="D102" s="159">
        <v>442.7</v>
      </c>
      <c r="E102" s="159"/>
      <c r="F102" s="160"/>
      <c r="G102" s="160"/>
      <c r="H102" s="211">
        <f t="shared" si="2"/>
        <v>3500</v>
      </c>
      <c r="I102" s="160"/>
      <c r="J102" s="160"/>
      <c r="K102" s="160"/>
      <c r="L102" s="160"/>
      <c r="M102" s="160">
        <v>3500</v>
      </c>
      <c r="N102" s="160">
        <f t="shared" si="17"/>
        <v>-3500</v>
      </c>
      <c r="O102" s="131"/>
      <c r="P102" s="197"/>
      <c r="Q102" s="213"/>
    </row>
    <row r="103" spans="1:17">
      <c r="A103" s="168" t="s">
        <v>470</v>
      </c>
      <c r="B103" s="197">
        <v>5918001</v>
      </c>
      <c r="C103" s="168" t="s">
        <v>471</v>
      </c>
      <c r="D103" s="159">
        <v>50</v>
      </c>
      <c r="E103" s="159"/>
      <c r="F103" s="160">
        <v>45947.45</v>
      </c>
      <c r="G103" s="160">
        <v>20676.36</v>
      </c>
      <c r="H103" s="211">
        <f t="shared" si="2"/>
        <v>3500</v>
      </c>
      <c r="I103" s="160"/>
      <c r="J103" s="160"/>
      <c r="K103" s="160"/>
      <c r="L103" s="160"/>
      <c r="M103" s="160">
        <v>3500</v>
      </c>
      <c r="N103" s="160">
        <f t="shared" si="17"/>
        <v>42447.45</v>
      </c>
      <c r="O103" s="196"/>
      <c r="P103" s="217"/>
      <c r="Q103" s="213"/>
    </row>
    <row r="104" spans="1:17" ht="30">
      <c r="A104" s="168" t="s">
        <v>472</v>
      </c>
      <c r="B104" s="197">
        <v>5411001</v>
      </c>
      <c r="C104" s="168" t="s">
        <v>473</v>
      </c>
      <c r="D104" s="159">
        <v>15</v>
      </c>
      <c r="E104" s="159"/>
      <c r="F104" s="160">
        <v>550</v>
      </c>
      <c r="G104" s="160">
        <v>550</v>
      </c>
      <c r="H104" s="211">
        <f t="shared" ref="H104:H115" si="18">SUM(I104:M104)</f>
        <v>3500</v>
      </c>
      <c r="I104" s="160"/>
      <c r="J104" s="160"/>
      <c r="K104" s="160"/>
      <c r="L104" s="160"/>
      <c r="M104" s="160">
        <v>3500</v>
      </c>
      <c r="N104" s="160">
        <f t="shared" si="17"/>
        <v>-2950</v>
      </c>
      <c r="O104" s="131"/>
      <c r="P104" s="217"/>
      <c r="Q104" s="213"/>
    </row>
    <row r="105" spans="1:17">
      <c r="A105" s="168" t="s">
        <v>474</v>
      </c>
      <c r="B105" s="197">
        <v>5828001</v>
      </c>
      <c r="C105" s="168" t="s">
        <v>475</v>
      </c>
      <c r="D105" s="159">
        <v>15</v>
      </c>
      <c r="E105" s="159"/>
      <c r="F105" s="160">
        <v>550</v>
      </c>
      <c r="G105" s="160">
        <v>550</v>
      </c>
      <c r="H105" s="211">
        <f t="shared" si="18"/>
        <v>3500</v>
      </c>
      <c r="I105" s="160"/>
      <c r="J105" s="160"/>
      <c r="K105" s="160"/>
      <c r="L105" s="160"/>
      <c r="M105" s="160">
        <v>3500</v>
      </c>
      <c r="N105" s="160">
        <f t="shared" si="17"/>
        <v>-2950</v>
      </c>
      <c r="O105" s="131"/>
      <c r="P105" s="217"/>
      <c r="Q105" s="213"/>
    </row>
    <row r="106" spans="1:17">
      <c r="A106" s="168" t="s">
        <v>476</v>
      </c>
      <c r="B106" s="197">
        <v>5826001</v>
      </c>
      <c r="C106" s="168" t="s">
        <v>477</v>
      </c>
      <c r="D106" s="159">
        <v>15</v>
      </c>
      <c r="E106" s="159"/>
      <c r="F106" s="160">
        <v>550</v>
      </c>
      <c r="G106" s="160">
        <v>550</v>
      </c>
      <c r="H106" s="211">
        <f t="shared" si="18"/>
        <v>139340</v>
      </c>
      <c r="I106" s="160"/>
      <c r="J106" s="160"/>
      <c r="K106" s="160"/>
      <c r="L106" s="160"/>
      <c r="M106" s="160">
        <v>139340</v>
      </c>
      <c r="N106" s="160">
        <f t="shared" si="17"/>
        <v>-138790</v>
      </c>
      <c r="O106" s="131"/>
      <c r="P106" s="217"/>
      <c r="Q106" s="213"/>
    </row>
    <row r="107" spans="1:17">
      <c r="A107" s="168" t="s">
        <v>478</v>
      </c>
      <c r="B107" s="197">
        <v>2467071</v>
      </c>
      <c r="C107" s="168" t="s">
        <v>227</v>
      </c>
      <c r="D107" s="159">
        <v>487</v>
      </c>
      <c r="E107" s="159"/>
      <c r="F107" s="160">
        <v>25215401.93</v>
      </c>
      <c r="G107" s="160">
        <v>0</v>
      </c>
      <c r="H107" s="211">
        <f t="shared" si="18"/>
        <v>3500</v>
      </c>
      <c r="I107" s="160"/>
      <c r="J107" s="160"/>
      <c r="K107" s="160"/>
      <c r="L107" s="160"/>
      <c r="M107" s="160">
        <v>3500</v>
      </c>
      <c r="N107" s="160">
        <f t="shared" si="17"/>
        <v>25211901.93</v>
      </c>
      <c r="O107" s="131"/>
      <c r="P107" s="197"/>
      <c r="Q107" s="213"/>
    </row>
    <row r="108" spans="1:17">
      <c r="A108" s="168" t="s">
        <v>479</v>
      </c>
      <c r="B108" s="197">
        <v>5884001</v>
      </c>
      <c r="C108" s="168" t="s">
        <v>480</v>
      </c>
      <c r="D108" s="159">
        <v>100</v>
      </c>
      <c r="E108" s="159"/>
      <c r="F108" s="160">
        <v>55872.78</v>
      </c>
      <c r="G108" s="160">
        <v>55872.78</v>
      </c>
      <c r="H108" s="211">
        <f t="shared" si="18"/>
        <v>3500</v>
      </c>
      <c r="I108" s="160"/>
      <c r="J108" s="160"/>
      <c r="K108" s="160"/>
      <c r="L108" s="160"/>
      <c r="M108" s="160">
        <v>3500</v>
      </c>
      <c r="N108" s="160">
        <f t="shared" si="17"/>
        <v>52372.78</v>
      </c>
      <c r="O108" s="196"/>
      <c r="P108" s="195"/>
      <c r="Q108" s="213"/>
    </row>
    <row r="109" spans="1:17">
      <c r="A109" s="168" t="s">
        <v>481</v>
      </c>
      <c r="B109" s="197">
        <v>268002</v>
      </c>
      <c r="C109" s="168" t="s">
        <v>482</v>
      </c>
      <c r="D109" s="159">
        <v>82</v>
      </c>
      <c r="E109" s="159"/>
      <c r="F109" s="160">
        <v>55872.78</v>
      </c>
      <c r="G109" s="160">
        <v>17855.82</v>
      </c>
      <c r="H109" s="211">
        <f t="shared" si="18"/>
        <v>3500</v>
      </c>
      <c r="I109" s="160"/>
      <c r="J109" s="160"/>
      <c r="K109" s="160"/>
      <c r="L109" s="160"/>
      <c r="M109" s="160">
        <v>3500</v>
      </c>
      <c r="N109" s="160">
        <f t="shared" si="17"/>
        <v>52372.78</v>
      </c>
      <c r="O109" s="196"/>
      <c r="P109" s="195"/>
      <c r="Q109" s="213"/>
    </row>
    <row r="110" spans="1:17">
      <c r="A110" s="168" t="s">
        <v>483</v>
      </c>
      <c r="B110" s="197">
        <v>5483006</v>
      </c>
      <c r="C110" s="168" t="s">
        <v>484</v>
      </c>
      <c r="D110" s="159">
        <v>48.4</v>
      </c>
      <c r="E110" s="159"/>
      <c r="F110" s="160">
        <v>8038.24</v>
      </c>
      <c r="G110" s="160">
        <v>8038.24</v>
      </c>
      <c r="H110" s="211">
        <f t="shared" si="18"/>
        <v>3500</v>
      </c>
      <c r="I110" s="160"/>
      <c r="J110" s="160"/>
      <c r="K110" s="160"/>
      <c r="L110" s="160"/>
      <c r="M110" s="160">
        <v>3500</v>
      </c>
      <c r="N110" s="160">
        <f t="shared" si="17"/>
        <v>4538.24</v>
      </c>
      <c r="O110" s="196"/>
      <c r="P110" s="195"/>
      <c r="Q110" s="213"/>
    </row>
    <row r="111" spans="1:17">
      <c r="A111" s="168" t="s">
        <v>485</v>
      </c>
      <c r="B111" s="197">
        <v>5333003</v>
      </c>
      <c r="C111" s="168" t="s">
        <v>486</v>
      </c>
      <c r="D111" s="159">
        <v>90</v>
      </c>
      <c r="E111" s="159"/>
      <c r="F111" s="160">
        <v>46055.19</v>
      </c>
      <c r="G111" s="160">
        <v>46055.19</v>
      </c>
      <c r="H111" s="211">
        <f t="shared" si="18"/>
        <v>3500</v>
      </c>
      <c r="I111" s="160"/>
      <c r="J111" s="160"/>
      <c r="K111" s="160"/>
      <c r="L111" s="160"/>
      <c r="M111" s="160">
        <v>3500</v>
      </c>
      <c r="N111" s="160">
        <f t="shared" si="17"/>
        <v>42555.19</v>
      </c>
      <c r="O111" s="196"/>
      <c r="P111" s="195"/>
      <c r="Q111" s="213"/>
    </row>
    <row r="112" spans="1:17">
      <c r="A112" s="168" t="s">
        <v>487</v>
      </c>
      <c r="B112" s="197">
        <v>4562005</v>
      </c>
      <c r="C112" s="168" t="s">
        <v>488</v>
      </c>
      <c r="D112" s="159">
        <v>141.69999999999999</v>
      </c>
      <c r="E112" s="159"/>
      <c r="F112" s="160">
        <v>8038.24</v>
      </c>
      <c r="G112" s="160">
        <v>8038.24</v>
      </c>
      <c r="H112" s="211">
        <f t="shared" si="18"/>
        <v>3500</v>
      </c>
      <c r="I112" s="160"/>
      <c r="J112" s="160"/>
      <c r="K112" s="160"/>
      <c r="L112" s="160"/>
      <c r="M112" s="160">
        <v>3500</v>
      </c>
      <c r="N112" s="160">
        <f t="shared" si="17"/>
        <v>4538.24</v>
      </c>
      <c r="O112" s="196"/>
      <c r="P112" s="195"/>
      <c r="Q112" s="213"/>
    </row>
    <row r="113" spans="1:17">
      <c r="A113" s="168" t="s">
        <v>489</v>
      </c>
      <c r="B113" s="197">
        <v>5923001</v>
      </c>
      <c r="C113" s="168" t="s">
        <v>490</v>
      </c>
      <c r="D113" s="159">
        <v>149</v>
      </c>
      <c r="E113" s="159"/>
      <c r="F113" s="160">
        <v>55872.78</v>
      </c>
      <c r="G113" s="160">
        <v>55872.78</v>
      </c>
      <c r="H113" s="211">
        <f t="shared" si="18"/>
        <v>3500</v>
      </c>
      <c r="I113" s="160"/>
      <c r="J113" s="160"/>
      <c r="K113" s="160"/>
      <c r="L113" s="160"/>
      <c r="M113" s="160">
        <v>3500</v>
      </c>
      <c r="N113" s="160">
        <f t="shared" si="17"/>
        <v>52372.78</v>
      </c>
      <c r="O113" s="196"/>
      <c r="P113" s="195"/>
      <c r="Q113" s="213"/>
    </row>
    <row r="114" spans="1:17">
      <c r="A114" s="168" t="s">
        <v>278</v>
      </c>
      <c r="B114" s="197">
        <v>846128</v>
      </c>
      <c r="C114" s="168" t="s">
        <v>149</v>
      </c>
      <c r="D114" s="159">
        <v>120</v>
      </c>
      <c r="E114" s="159"/>
      <c r="F114" s="160">
        <v>17821.28</v>
      </c>
      <c r="G114" s="160">
        <v>17821.28</v>
      </c>
      <c r="H114" s="211">
        <f t="shared" si="18"/>
        <v>19950</v>
      </c>
      <c r="I114" s="160"/>
      <c r="J114" s="160"/>
      <c r="K114" s="160"/>
      <c r="L114" s="160"/>
      <c r="M114" s="160">
        <v>19950</v>
      </c>
      <c r="N114" s="160">
        <f t="shared" si="17"/>
        <v>-2128.7200000000012</v>
      </c>
      <c r="O114" s="131"/>
      <c r="P114" s="159"/>
      <c r="Q114" s="213"/>
    </row>
    <row r="115" spans="1:17">
      <c r="A115" s="157" t="s">
        <v>491</v>
      </c>
      <c r="B115" s="157">
        <v>5535002</v>
      </c>
      <c r="C115" s="168" t="s">
        <v>370</v>
      </c>
      <c r="D115" s="159">
        <v>150</v>
      </c>
      <c r="E115" s="159"/>
      <c r="F115" s="159">
        <v>17821.28</v>
      </c>
      <c r="G115" s="159">
        <v>17821.28</v>
      </c>
      <c r="H115" s="211">
        <f t="shared" si="18"/>
        <v>224131.44</v>
      </c>
      <c r="I115" s="212">
        <v>201166.65</v>
      </c>
      <c r="J115" s="212">
        <f>10759.32+2043.09</f>
        <v>12802.41</v>
      </c>
      <c r="K115" s="212">
        <f>3270.83+621.1</f>
        <v>3891.93</v>
      </c>
      <c r="L115" s="212">
        <v>6270.45</v>
      </c>
      <c r="M115" s="137"/>
      <c r="N115" s="159">
        <f t="shared" si="17"/>
        <v>-206310.16</v>
      </c>
      <c r="O115" s="131"/>
      <c r="P115" s="159"/>
      <c r="Q115" s="223" t="s">
        <v>296</v>
      </c>
    </row>
    <row r="116" spans="1:17" ht="15.75">
      <c r="A116" s="141"/>
      <c r="B116" s="141"/>
      <c r="C116" s="153"/>
      <c r="D116" s="238"/>
      <c r="E116" s="239"/>
      <c r="F116" s="239"/>
      <c r="G116" s="240"/>
      <c r="H116" s="212"/>
      <c r="I116" s="212"/>
      <c r="J116" s="212"/>
      <c r="K116" s="212"/>
      <c r="L116" s="211"/>
      <c r="M116" s="137"/>
      <c r="N116" s="241"/>
      <c r="O116" s="242"/>
      <c r="P116" s="243"/>
      <c r="Q116" s="159"/>
    </row>
    <row r="117" spans="1:17">
      <c r="A117" s="136"/>
      <c r="B117" s="136"/>
      <c r="C117" s="136"/>
      <c r="I117" s="136"/>
      <c r="J117" s="136"/>
      <c r="K117" s="136"/>
      <c r="L117" s="136"/>
      <c r="M117" s="136"/>
      <c r="O117" s="136"/>
    </row>
    <row r="118" spans="1:17" hidden="1"/>
    <row r="119" spans="1:17" hidden="1"/>
    <row r="120" spans="1:17" hidden="1"/>
    <row r="121" spans="1:17">
      <c r="H121" s="135"/>
      <c r="M121" s="201" t="s">
        <v>973</v>
      </c>
      <c r="N121" s="135"/>
      <c r="O121" s="136"/>
      <c r="Q121" s="136" t="s">
        <v>973</v>
      </c>
    </row>
    <row r="122" spans="1:17">
      <c r="I122" s="201" t="s">
        <v>493</v>
      </c>
      <c r="J122" s="201">
        <f>O38+O49+O86+O41+O59+O28+O54+O98</f>
        <v>1.5539999999999998</v>
      </c>
      <c r="K122" s="135">
        <f>H38+H86+H41+H59+H49+H28+H54+H98</f>
        <v>537280.31805546454</v>
      </c>
      <c r="L122" s="135">
        <f>N38+N86+N41+N59+N28+N54+N98</f>
        <v>-411891.45097803767</v>
      </c>
      <c r="M122" s="201">
        <f>D28+D38+D41+D49+D54+D59+D86+D98</f>
        <v>374.7</v>
      </c>
      <c r="N122" s="136" t="s">
        <v>48</v>
      </c>
      <c r="O122" s="202">
        <f>O8+O9+O16+O44+O45+O52+O53+O57+O71+O76+O77+O79+O82+O84+O89+O91+O93+O94+O95+O96+O97+O10</f>
        <v>2.5529999999999999</v>
      </c>
      <c r="P122" s="135">
        <f>H8+H9+H10+H16+H44+H45+H52+H53+H57+H71+H76+H77+H79+H82+H84+H89+H91+H93+H94+H95+H96+H97</f>
        <v>1348152.9459991076</v>
      </c>
      <c r="Q122" s="136">
        <f>D8+D9+D10+D16+D44+D45+D52+D53+D57+D71+D76+D77+D79+D82+D84+D89+D91+D93+D94+D95+D96+D97</f>
        <v>330</v>
      </c>
    </row>
    <row r="123" spans="1:17">
      <c r="I123" s="201" t="s">
        <v>283</v>
      </c>
      <c r="J123" s="201">
        <f>O6+O17+O20+O31+O33+O35+O36+O39+O46+O47+O48+O51+O55+O56+O83+O30</f>
        <v>4.9530000000000003</v>
      </c>
      <c r="K123" s="135">
        <f>H6+H17+H20+H31+H33+H35+H36+H39+H46+H47+H48+H55+H56+H83+H51+H30</f>
        <v>2784755.8932789485</v>
      </c>
      <c r="L123" s="135">
        <f>N6+N17+N20+N31+N33+N35+N36+N39+N46+N47+N48+N56+N83+N30</f>
        <v>-2336191.2825590009</v>
      </c>
      <c r="M123" s="201">
        <f>D6+D17+D20+D30+D31+D33+D35+D36+D39+D46+D47+D48+D51+D55+D56+D83</f>
        <v>1703</v>
      </c>
      <c r="N123" s="136" t="s">
        <v>49</v>
      </c>
      <c r="O123" s="202">
        <f>O13+O32+O68+O70+O81+O88+O11</f>
        <v>1.69</v>
      </c>
      <c r="P123" s="135">
        <f>H11+H13+H32+H68+H70+H81+H88</f>
        <v>1082382.9684628502</v>
      </c>
      <c r="Q123" s="136">
        <f>D11+D13+D32+D68+D70+D81+D88</f>
        <v>95</v>
      </c>
    </row>
    <row r="124" spans="1:17">
      <c r="I124" s="201" t="s">
        <v>525</v>
      </c>
      <c r="J124" s="201">
        <f>O43</f>
        <v>0.12</v>
      </c>
      <c r="K124" s="135">
        <f>H43</f>
        <v>50065.015714285706</v>
      </c>
      <c r="L124" s="135">
        <f>N43</f>
        <v>-24195.235714285707</v>
      </c>
      <c r="M124" s="201">
        <f>D43</f>
        <v>127</v>
      </c>
      <c r="N124" s="136" t="s">
        <v>279</v>
      </c>
      <c r="O124" s="202">
        <f>O69+O78+O92</f>
        <v>0.113</v>
      </c>
      <c r="P124" s="135">
        <f>H69+H78+H92</f>
        <v>47462.782716594425</v>
      </c>
      <c r="Q124" s="136">
        <f>D69+D78+D92</f>
        <v>45</v>
      </c>
    </row>
    <row r="125" spans="1:17">
      <c r="I125" s="201" t="str">
        <f>Q87</f>
        <v>3.1.1.1.1</v>
      </c>
      <c r="J125" s="201">
        <f>O87</f>
        <v>0.215</v>
      </c>
      <c r="K125" s="135">
        <f>H87</f>
        <v>371817.78</v>
      </c>
      <c r="L125" s="135">
        <f>N87</f>
        <v>-335687.92000000004</v>
      </c>
      <c r="M125" s="201">
        <f>D87</f>
        <v>15</v>
      </c>
      <c r="P125" s="135"/>
    </row>
    <row r="126" spans="1:17">
      <c r="I126" s="201" t="s">
        <v>284</v>
      </c>
      <c r="J126" s="201">
        <f>O7+O42+O58+O61+O65+O72+O85+O99</f>
        <v>0.79500000000000015</v>
      </c>
      <c r="K126" s="135">
        <f>H7+H42+H58+H61+H65+H72+H85+H99</f>
        <v>1042667.2708230154</v>
      </c>
      <c r="L126" s="135">
        <f>N7+N42+N58+N61+N65+N72+N85+N99</f>
        <v>-849256.27531568252</v>
      </c>
      <c r="M126" s="201">
        <f>D7+D42+D58+D61+D65+D72+D85+D99</f>
        <v>650</v>
      </c>
      <c r="N126" s="136" t="s">
        <v>102</v>
      </c>
      <c r="O126" s="202">
        <f>O67</f>
        <v>2.5000000000000001E-2</v>
      </c>
      <c r="P126" s="135">
        <f>H67</f>
        <v>17332.386363636364</v>
      </c>
      <c r="Q126" s="136">
        <f>D67</f>
        <v>15</v>
      </c>
    </row>
    <row r="127" spans="1:17">
      <c r="I127" s="201" t="s">
        <v>82</v>
      </c>
      <c r="J127" s="201">
        <f>O5+O12+O15+O18+O23+O24+O25+O34+O40+O60+O63+O66+O100+O101+O75+O116+O29</f>
        <v>2.9830000000000005</v>
      </c>
      <c r="K127" s="135">
        <f>H5+H12+H15+H18+H23+H24+H25+H34+H40+H60+H63+H66+H75+H100+H101+G116+H29</f>
        <v>4872599.4455834124</v>
      </c>
      <c r="L127" s="135">
        <f>N5+N12+N15+N18+N23+N24+N25+N34+N40+N60+N63+N66+N75+N100+N101+N116+N29</f>
        <v>-4499648.2310003769</v>
      </c>
      <c r="M127" s="201">
        <f>D5+D12+D15+D18+D23+D24+D25+D29+D34+D40+D60+D63+D66+D75+D100+D101</f>
        <v>2005.3999999999999</v>
      </c>
      <c r="N127" s="136" t="s">
        <v>53</v>
      </c>
      <c r="O127" s="202">
        <f>O14+O62+O90</f>
        <v>0.1</v>
      </c>
      <c r="P127" s="135">
        <f>H14+H62+H90</f>
        <v>137734.40645781119</v>
      </c>
      <c r="Q127" s="136">
        <f>D14+D62+D90</f>
        <v>25</v>
      </c>
    </row>
    <row r="128" spans="1:17">
      <c r="I128" s="201" t="s">
        <v>286</v>
      </c>
      <c r="J128" s="201">
        <f>O74</f>
        <v>1.4E-2</v>
      </c>
      <c r="K128" s="135">
        <f>H74</f>
        <v>27235.103312101903</v>
      </c>
      <c r="L128" s="135">
        <f>N74</f>
        <v>-21852.431464968147</v>
      </c>
      <c r="M128" s="201">
        <f>D74</f>
        <v>120</v>
      </c>
    </row>
    <row r="129" spans="9:17">
      <c r="I129" s="201" t="s">
        <v>514</v>
      </c>
      <c r="J129" s="201">
        <f>O19+O73</f>
        <v>0.54100000000000004</v>
      </c>
      <c r="K129" s="135">
        <f>H19+H73</f>
        <v>1204304.1832327715</v>
      </c>
      <c r="L129" s="135">
        <f>N19+N73</f>
        <v>-1180911.8529676469</v>
      </c>
      <c r="M129" s="201">
        <f>D19+D73</f>
        <v>270</v>
      </c>
      <c r="O129" s="202">
        <f>SUM(O122:O127)</f>
        <v>4.4810000000000008</v>
      </c>
      <c r="P129" s="135">
        <f>SUM(P122:P127)</f>
        <v>2633065.4899999998</v>
      </c>
      <c r="Q129" s="135" t="e">
        <f>#REF!-N2</f>
        <v>#REF!</v>
      </c>
    </row>
    <row r="130" spans="9:17">
      <c r="I130" s="201" t="s">
        <v>537</v>
      </c>
      <c r="J130" s="201" t="s">
        <v>538</v>
      </c>
      <c r="K130" s="135">
        <f>H115+H21</f>
        <v>966083.97</v>
      </c>
      <c r="L130" s="201">
        <f>N115+N21</f>
        <v>-930441.40999999992</v>
      </c>
      <c r="M130" s="201">
        <f>D21</f>
        <v>150</v>
      </c>
    </row>
    <row r="131" spans="9:17">
      <c r="J131" s="201">
        <f>SUM(J122:J129)</f>
        <v>11.175000000000001</v>
      </c>
      <c r="K131" s="135">
        <f>SUM(K122:K130)</f>
        <v>11856808.98</v>
      </c>
      <c r="L131" s="135">
        <f>SUM(L122:L130)</f>
        <v>-10590076.09</v>
      </c>
      <c r="M131" s="201">
        <f>L131-N1</f>
        <v>-518260.70999999717</v>
      </c>
    </row>
  </sheetData>
  <autoFilter ref="A1:Q117" xr:uid="{00000000-0009-0000-0000-000003000000}"/>
  <mergeCells count="12">
    <mergeCell ref="Q3:Q4"/>
    <mergeCell ref="A3:A4"/>
    <mergeCell ref="B3:B4"/>
    <mergeCell ref="C3:C4"/>
    <mergeCell ref="D3:D4"/>
    <mergeCell ref="E3:E4"/>
    <mergeCell ref="F3:F4"/>
    <mergeCell ref="G3:G4"/>
    <mergeCell ref="H3:L3"/>
    <mergeCell ref="M3:M4"/>
    <mergeCell ref="N3:N4"/>
    <mergeCell ref="O3:P3"/>
  </mergeCells>
  <pageMargins left="0.25" right="0.25" top="0.75" bottom="0.75" header="0.3" footer="0.3"/>
  <pageSetup paperSize="9" scale="40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1:S332"/>
  <sheetViews>
    <sheetView zoomScale="85" zoomScaleNormal="85" workbookViewId="0">
      <selection activeCell="L41" sqref="L41"/>
    </sheetView>
  </sheetViews>
  <sheetFormatPr defaultRowHeight="15"/>
  <cols>
    <col min="1" max="1" width="55.85546875" style="158" customWidth="1"/>
    <col min="2" max="2" width="11.42578125" style="158" customWidth="1"/>
    <col min="3" max="3" width="11" style="158" customWidth="1"/>
    <col min="4" max="4" width="26.42578125" style="244" customWidth="1"/>
    <col min="5" max="5" width="14.140625" style="158" bestFit="1" customWidth="1"/>
    <col min="6" max="7" width="12.140625" style="158" customWidth="1"/>
    <col min="8" max="8" width="14.140625" style="158" customWidth="1"/>
    <col min="9" max="9" width="13.28515625" style="158" customWidth="1"/>
    <col min="10" max="10" width="11.7109375" style="158" customWidth="1"/>
    <col min="11" max="11" width="13" style="158" customWidth="1"/>
    <col min="12" max="12" width="10" style="158" bestFit="1" customWidth="1"/>
    <col min="13" max="13" width="12.42578125" style="158" customWidth="1"/>
    <col min="14" max="14" width="17.85546875" style="244" hidden="1" customWidth="1"/>
    <col min="15" max="15" width="19" style="244" bestFit="1" customWidth="1"/>
    <col min="16" max="16" width="43.7109375" style="244" customWidth="1"/>
    <col min="17" max="17" width="22.140625" style="244" customWidth="1"/>
    <col min="18" max="16384" width="9.140625" style="158"/>
  </cols>
  <sheetData>
    <row r="1" spans="1:19">
      <c r="A1" s="158" t="s">
        <v>311</v>
      </c>
    </row>
    <row r="2" spans="1:19">
      <c r="N2" s="360" t="s">
        <v>113</v>
      </c>
      <c r="O2" s="361"/>
    </row>
    <row r="3" spans="1:19">
      <c r="A3" s="362" t="s">
        <v>114</v>
      </c>
      <c r="B3" s="364" t="s">
        <v>569</v>
      </c>
      <c r="C3" s="364" t="s">
        <v>115</v>
      </c>
      <c r="D3" s="313" t="s">
        <v>116</v>
      </c>
      <c r="E3" s="366" t="s">
        <v>309</v>
      </c>
      <c r="F3" s="313" t="s">
        <v>117</v>
      </c>
      <c r="G3" s="313" t="s">
        <v>118</v>
      </c>
      <c r="H3" s="368" t="s">
        <v>119</v>
      </c>
      <c r="I3" s="369"/>
      <c r="J3" s="369"/>
      <c r="K3" s="369"/>
      <c r="L3" s="370"/>
      <c r="M3" s="364" t="s">
        <v>352</v>
      </c>
      <c r="N3" s="356" t="s">
        <v>106</v>
      </c>
      <c r="O3" s="357"/>
      <c r="P3" s="355" t="s">
        <v>570</v>
      </c>
      <c r="Q3" s="355" t="s">
        <v>571</v>
      </c>
    </row>
    <row r="4" spans="1:19" ht="27" customHeight="1">
      <c r="A4" s="363"/>
      <c r="B4" s="365"/>
      <c r="C4" s="365"/>
      <c r="D4" s="314"/>
      <c r="E4" s="367"/>
      <c r="F4" s="314"/>
      <c r="G4" s="314"/>
      <c r="H4" s="245" t="s">
        <v>121</v>
      </c>
      <c r="I4" s="245" t="s">
        <v>122</v>
      </c>
      <c r="J4" s="245" t="s">
        <v>123</v>
      </c>
      <c r="K4" s="245" t="s">
        <v>124</v>
      </c>
      <c r="L4" s="245" t="s">
        <v>125</v>
      </c>
      <c r="M4" s="289"/>
      <c r="N4" s="358"/>
      <c r="O4" s="359"/>
      <c r="P4" s="355"/>
      <c r="Q4" s="355"/>
    </row>
    <row r="5" spans="1:19" ht="15" customHeight="1">
      <c r="A5" s="246" t="s">
        <v>572</v>
      </c>
      <c r="B5" s="247">
        <v>6000386</v>
      </c>
      <c r="C5" s="247">
        <v>5529002</v>
      </c>
      <c r="D5" s="248" t="s">
        <v>277</v>
      </c>
      <c r="E5" s="248"/>
      <c r="F5" s="249">
        <v>17821.28</v>
      </c>
      <c r="G5" s="249">
        <v>17821.28</v>
      </c>
      <c r="H5" s="250">
        <f>SUM(I5:M5)</f>
        <v>25144.2</v>
      </c>
      <c r="I5" s="250">
        <v>22554.21</v>
      </c>
      <c r="J5" s="250">
        <f>849.57+332.51</f>
        <v>1182.08</v>
      </c>
      <c r="K5" s="250">
        <f>258.27+101.08</f>
        <v>359.34999999999997</v>
      </c>
      <c r="L5" s="250">
        <v>1048.56</v>
      </c>
      <c r="M5" s="250"/>
      <c r="N5" s="251"/>
      <c r="O5" s="268">
        <f>G5-H5</f>
        <v>-7322.9200000000019</v>
      </c>
      <c r="P5" s="252" t="s">
        <v>573</v>
      </c>
      <c r="Q5" s="252" t="s">
        <v>574</v>
      </c>
      <c r="R5" s="158">
        <f>F5/1.2/1000</f>
        <v>14.851066666666666</v>
      </c>
      <c r="S5" s="158">
        <f>H5/1000</f>
        <v>25.144200000000001</v>
      </c>
    </row>
    <row r="6" spans="1:19" s="256" customFormat="1" ht="15" customHeight="1">
      <c r="A6" s="246" t="s">
        <v>572</v>
      </c>
      <c r="B6" s="247">
        <v>6000386</v>
      </c>
      <c r="C6" s="247">
        <v>5627001</v>
      </c>
      <c r="D6" s="253" t="s">
        <v>575</v>
      </c>
      <c r="E6" s="253"/>
      <c r="F6" s="254">
        <v>550</v>
      </c>
      <c r="G6" s="254">
        <v>550</v>
      </c>
      <c r="H6" s="250">
        <f t="shared" ref="H6:H68" si="0">SUM(I6:M6)</f>
        <v>6972.57</v>
      </c>
      <c r="I6" s="255">
        <v>4382.58</v>
      </c>
      <c r="J6" s="250">
        <f>849.57+332.51</f>
        <v>1182.08</v>
      </c>
      <c r="K6" s="250">
        <f>258.27+101.08</f>
        <v>359.34999999999997</v>
      </c>
      <c r="L6" s="250">
        <v>1048.56</v>
      </c>
      <c r="M6" s="250"/>
      <c r="N6" s="251"/>
      <c r="O6" s="268">
        <f t="shared" ref="O6:O69" si="1">G6-H6</f>
        <v>-6422.57</v>
      </c>
      <c r="P6" s="252" t="s">
        <v>576</v>
      </c>
      <c r="Q6" s="252" t="s">
        <v>577</v>
      </c>
      <c r="R6" s="256">
        <f>H6/1000</f>
        <v>6.9725699999999993</v>
      </c>
    </row>
    <row r="7" spans="1:19" ht="15" customHeight="1">
      <c r="A7" s="246" t="s">
        <v>572</v>
      </c>
      <c r="B7" s="247">
        <v>6000386</v>
      </c>
      <c r="C7" s="247">
        <v>860012</v>
      </c>
      <c r="D7" s="253" t="s">
        <v>314</v>
      </c>
      <c r="E7" s="253"/>
      <c r="F7" s="254">
        <v>17821.28</v>
      </c>
      <c r="G7" s="254">
        <v>17821.28</v>
      </c>
      <c r="H7" s="250">
        <f t="shared" si="0"/>
        <v>18768.219999999998</v>
      </c>
      <c r="I7" s="255">
        <v>16178.23</v>
      </c>
      <c r="J7" s="250">
        <v>1182.08</v>
      </c>
      <c r="K7" s="250">
        <v>359.35</v>
      </c>
      <c r="L7" s="250">
        <v>1048.56</v>
      </c>
      <c r="M7" s="250"/>
      <c r="N7" s="251"/>
      <c r="O7" s="268">
        <f t="shared" si="1"/>
        <v>-946.93999999999869</v>
      </c>
      <c r="P7" s="252" t="s">
        <v>573</v>
      </c>
      <c r="Q7" s="252" t="s">
        <v>578</v>
      </c>
      <c r="R7" s="158">
        <f>F7/1.2/1000</f>
        <v>14.851066666666666</v>
      </c>
      <c r="S7" s="158">
        <f>H7/1000</f>
        <v>18.768219999999996</v>
      </c>
    </row>
    <row r="8" spans="1:19" ht="15" customHeight="1">
      <c r="A8" s="246" t="s">
        <v>572</v>
      </c>
      <c r="B8" s="247">
        <v>6000386</v>
      </c>
      <c r="C8" s="257">
        <v>846134</v>
      </c>
      <c r="D8" s="253" t="s">
        <v>149</v>
      </c>
      <c r="E8" s="253"/>
      <c r="F8" s="254">
        <v>550</v>
      </c>
      <c r="G8" s="254">
        <v>550</v>
      </c>
      <c r="H8" s="250">
        <f t="shared" si="0"/>
        <v>8426.6</v>
      </c>
      <c r="I8" s="255">
        <v>5836.61</v>
      </c>
      <c r="J8" s="250">
        <v>1182.08</v>
      </c>
      <c r="K8" s="250">
        <v>359.35</v>
      </c>
      <c r="L8" s="250">
        <v>1048.56</v>
      </c>
      <c r="M8" s="250"/>
      <c r="N8" s="251"/>
      <c r="O8" s="268">
        <f t="shared" si="1"/>
        <v>-7876.6</v>
      </c>
      <c r="P8" s="252" t="s">
        <v>579</v>
      </c>
      <c r="Q8" s="252" t="s">
        <v>580</v>
      </c>
      <c r="R8" s="256">
        <f t="shared" ref="R8:R10" si="2">H8/1000</f>
        <v>8.4266000000000005</v>
      </c>
    </row>
    <row r="9" spans="1:19" ht="30" customHeight="1">
      <c r="A9" s="246" t="s">
        <v>572</v>
      </c>
      <c r="B9" s="247">
        <v>6000386</v>
      </c>
      <c r="C9" s="153">
        <v>5620001</v>
      </c>
      <c r="D9" s="253" t="s">
        <v>581</v>
      </c>
      <c r="E9" s="253"/>
      <c r="F9" s="254">
        <v>550</v>
      </c>
      <c r="G9" s="254">
        <v>550</v>
      </c>
      <c r="H9" s="250">
        <f t="shared" si="0"/>
        <v>11302.519999999999</v>
      </c>
      <c r="I9" s="119">
        <v>9446.0499999999993</v>
      </c>
      <c r="J9" s="119">
        <f>849.57+317.28</f>
        <v>1166.8499999999999</v>
      </c>
      <c r="K9" s="119">
        <v>354.72</v>
      </c>
      <c r="L9" s="119">
        <v>334.9</v>
      </c>
      <c r="M9" s="119"/>
      <c r="N9" s="258"/>
      <c r="O9" s="268">
        <f t="shared" si="1"/>
        <v>-10752.519999999999</v>
      </c>
      <c r="P9" s="252" t="s">
        <v>582</v>
      </c>
      <c r="Q9" s="252" t="s">
        <v>583</v>
      </c>
      <c r="R9" s="256">
        <f t="shared" si="2"/>
        <v>11.302519999999999</v>
      </c>
    </row>
    <row r="10" spans="1:19" ht="15" customHeight="1">
      <c r="A10" s="246" t="s">
        <v>572</v>
      </c>
      <c r="B10" s="247">
        <v>6000386</v>
      </c>
      <c r="C10" s="153">
        <v>2079002</v>
      </c>
      <c r="D10" s="253" t="s">
        <v>584</v>
      </c>
      <c r="E10" s="253"/>
      <c r="F10" s="254">
        <v>550</v>
      </c>
      <c r="G10" s="254">
        <v>550</v>
      </c>
      <c r="H10" s="250">
        <f t="shared" si="0"/>
        <v>12472.89</v>
      </c>
      <c r="I10" s="119">
        <v>10616.42</v>
      </c>
      <c r="J10" s="119">
        <v>1166.8499999999999</v>
      </c>
      <c r="K10" s="119">
        <v>354.72</v>
      </c>
      <c r="L10" s="119">
        <v>334.9</v>
      </c>
      <c r="M10" s="119"/>
      <c r="N10" s="258"/>
      <c r="O10" s="268">
        <f t="shared" si="1"/>
        <v>-11922.89</v>
      </c>
      <c r="P10" s="252" t="s">
        <v>585</v>
      </c>
      <c r="Q10" s="252" t="s">
        <v>586</v>
      </c>
      <c r="R10" s="256">
        <f t="shared" si="2"/>
        <v>12.47289</v>
      </c>
    </row>
    <row r="11" spans="1:19" ht="15" customHeight="1">
      <c r="A11" s="246" t="s">
        <v>572</v>
      </c>
      <c r="B11" s="247">
        <v>6000386</v>
      </c>
      <c r="C11" s="259">
        <v>37004</v>
      </c>
      <c r="D11" s="253" t="s">
        <v>587</v>
      </c>
      <c r="E11" s="253"/>
      <c r="F11" s="254">
        <v>47103.519999999997</v>
      </c>
      <c r="G11" s="254">
        <v>47103.519999999997</v>
      </c>
      <c r="H11" s="250">
        <f t="shared" si="0"/>
        <v>16175.56</v>
      </c>
      <c r="I11" s="119">
        <v>14319.09</v>
      </c>
      <c r="J11" s="119">
        <v>1166.8499999999999</v>
      </c>
      <c r="K11" s="119">
        <v>354.72</v>
      </c>
      <c r="L11" s="119">
        <v>334.9</v>
      </c>
      <c r="M11" s="119"/>
      <c r="N11" s="258"/>
      <c r="O11" s="268">
        <f t="shared" si="1"/>
        <v>30927.96</v>
      </c>
      <c r="P11" s="252" t="s">
        <v>585</v>
      </c>
      <c r="Q11" s="252" t="s">
        <v>588</v>
      </c>
    </row>
    <row r="12" spans="1:19" ht="30">
      <c r="A12" s="246" t="s">
        <v>572</v>
      </c>
      <c r="B12" s="247">
        <v>6000386</v>
      </c>
      <c r="C12" s="153">
        <v>5622001</v>
      </c>
      <c r="D12" s="253" t="s">
        <v>589</v>
      </c>
      <c r="E12" s="253"/>
      <c r="F12" s="254">
        <v>550</v>
      </c>
      <c r="G12" s="254">
        <v>550</v>
      </c>
      <c r="H12" s="250">
        <f t="shared" si="0"/>
        <v>11632.96</v>
      </c>
      <c r="I12" s="119">
        <v>9446.0499999999993</v>
      </c>
      <c r="J12" s="119">
        <f>530.98+332.51</f>
        <v>863.49</v>
      </c>
      <c r="K12" s="119">
        <f>161.42+101.08</f>
        <v>262.5</v>
      </c>
      <c r="L12" s="119">
        <v>1060.92</v>
      </c>
      <c r="M12" s="119"/>
      <c r="N12" s="260"/>
      <c r="O12" s="268">
        <f t="shared" si="1"/>
        <v>-11082.96</v>
      </c>
      <c r="P12" s="252" t="s">
        <v>582</v>
      </c>
      <c r="Q12" s="252"/>
      <c r="R12" s="256">
        <f t="shared" ref="R12:R75" si="3">H12/1000</f>
        <v>11.632959999999999</v>
      </c>
    </row>
    <row r="13" spans="1:19" ht="30">
      <c r="A13" s="246" t="s">
        <v>572</v>
      </c>
      <c r="B13" s="247">
        <v>6000386</v>
      </c>
      <c r="C13" s="153">
        <v>5590001</v>
      </c>
      <c r="D13" s="253" t="s">
        <v>590</v>
      </c>
      <c r="E13" s="253"/>
      <c r="F13" s="254">
        <v>550</v>
      </c>
      <c r="G13" s="254">
        <v>550</v>
      </c>
      <c r="H13" s="250">
        <f t="shared" si="0"/>
        <v>11632.96</v>
      </c>
      <c r="I13" s="119">
        <v>9446.0499999999993</v>
      </c>
      <c r="J13" s="119">
        <v>863.49</v>
      </c>
      <c r="K13" s="119">
        <v>262.5</v>
      </c>
      <c r="L13" s="119">
        <v>1060.92</v>
      </c>
      <c r="M13" s="119"/>
      <c r="N13" s="260"/>
      <c r="O13" s="268">
        <f t="shared" si="1"/>
        <v>-11082.96</v>
      </c>
      <c r="P13" s="252" t="s">
        <v>582</v>
      </c>
      <c r="Q13" s="252"/>
      <c r="R13" s="256">
        <f t="shared" si="3"/>
        <v>11.632959999999999</v>
      </c>
    </row>
    <row r="14" spans="1:19" ht="30">
      <c r="A14" s="246" t="s">
        <v>572</v>
      </c>
      <c r="B14" s="247">
        <v>6000386</v>
      </c>
      <c r="C14" s="153">
        <v>2908001</v>
      </c>
      <c r="D14" s="253" t="s">
        <v>591</v>
      </c>
      <c r="E14" s="253"/>
      <c r="F14" s="254">
        <v>550</v>
      </c>
      <c r="G14" s="254">
        <v>550</v>
      </c>
      <c r="H14" s="250">
        <f t="shared" si="0"/>
        <v>11632.96</v>
      </c>
      <c r="I14" s="119">
        <v>9446.0499999999993</v>
      </c>
      <c r="J14" s="119">
        <v>863.49</v>
      </c>
      <c r="K14" s="119">
        <v>262.5</v>
      </c>
      <c r="L14" s="119">
        <v>1060.92</v>
      </c>
      <c r="M14" s="119"/>
      <c r="N14" s="260"/>
      <c r="O14" s="268">
        <f t="shared" si="1"/>
        <v>-11082.96</v>
      </c>
      <c r="P14" s="252" t="s">
        <v>582</v>
      </c>
      <c r="Q14" s="252"/>
      <c r="R14" s="256">
        <f t="shared" si="3"/>
        <v>11.632959999999999</v>
      </c>
    </row>
    <row r="15" spans="1:19" ht="30">
      <c r="A15" s="246" t="s">
        <v>572</v>
      </c>
      <c r="B15" s="247">
        <v>6000386</v>
      </c>
      <c r="C15" s="153">
        <v>5629001</v>
      </c>
      <c r="D15" s="253" t="s">
        <v>592</v>
      </c>
      <c r="E15" s="253"/>
      <c r="F15" s="254">
        <v>550</v>
      </c>
      <c r="G15" s="254">
        <v>550</v>
      </c>
      <c r="H15" s="250">
        <f t="shared" si="0"/>
        <v>11632.96</v>
      </c>
      <c r="I15" s="119">
        <v>9446.0499999999993</v>
      </c>
      <c r="J15" s="119">
        <v>863.49</v>
      </c>
      <c r="K15" s="119">
        <v>262.5</v>
      </c>
      <c r="L15" s="119">
        <v>1060.92</v>
      </c>
      <c r="M15" s="119"/>
      <c r="N15" s="260"/>
      <c r="O15" s="268">
        <f t="shared" si="1"/>
        <v>-11082.96</v>
      </c>
      <c r="P15" s="252" t="s">
        <v>582</v>
      </c>
      <c r="Q15" s="252"/>
      <c r="R15" s="256">
        <f t="shared" si="3"/>
        <v>11.632959999999999</v>
      </c>
    </row>
    <row r="16" spans="1:19" ht="30">
      <c r="A16" s="246" t="s">
        <v>572</v>
      </c>
      <c r="B16" s="247">
        <v>6000386</v>
      </c>
      <c r="C16" s="153">
        <v>5655001</v>
      </c>
      <c r="D16" s="253" t="s">
        <v>593</v>
      </c>
      <c r="E16" s="253"/>
      <c r="F16" s="254">
        <v>550</v>
      </c>
      <c r="G16" s="254">
        <v>550</v>
      </c>
      <c r="H16" s="250">
        <f t="shared" si="0"/>
        <v>11632.96</v>
      </c>
      <c r="I16" s="119">
        <v>9446.0499999999993</v>
      </c>
      <c r="J16" s="119">
        <v>863.49</v>
      </c>
      <c r="K16" s="119">
        <v>262.5</v>
      </c>
      <c r="L16" s="119">
        <v>1060.92</v>
      </c>
      <c r="M16" s="119"/>
      <c r="N16" s="260"/>
      <c r="O16" s="268">
        <f t="shared" si="1"/>
        <v>-11082.96</v>
      </c>
      <c r="P16" s="252" t="s">
        <v>582</v>
      </c>
      <c r="Q16" s="252"/>
      <c r="R16" s="256">
        <f t="shared" si="3"/>
        <v>11.632959999999999</v>
      </c>
    </row>
    <row r="17" spans="1:18" ht="30">
      <c r="A17" s="246" t="s">
        <v>572</v>
      </c>
      <c r="B17" s="247">
        <v>6000386</v>
      </c>
      <c r="C17" s="153">
        <v>5699001</v>
      </c>
      <c r="D17" s="253" t="s">
        <v>594</v>
      </c>
      <c r="E17" s="253"/>
      <c r="F17" s="254">
        <v>550</v>
      </c>
      <c r="G17" s="254">
        <v>550</v>
      </c>
      <c r="H17" s="250">
        <f t="shared" si="0"/>
        <v>11632.96</v>
      </c>
      <c r="I17" s="119">
        <v>9446.0499999999993</v>
      </c>
      <c r="J17" s="119">
        <v>863.49</v>
      </c>
      <c r="K17" s="119">
        <v>262.5</v>
      </c>
      <c r="L17" s="119">
        <v>1060.92</v>
      </c>
      <c r="M17" s="119"/>
      <c r="N17" s="260"/>
      <c r="O17" s="268">
        <f t="shared" si="1"/>
        <v>-11082.96</v>
      </c>
      <c r="P17" s="252" t="s">
        <v>582</v>
      </c>
      <c r="Q17" s="252"/>
      <c r="R17" s="256">
        <f t="shared" si="3"/>
        <v>11.632959999999999</v>
      </c>
    </row>
    <row r="18" spans="1:18" ht="30">
      <c r="A18" s="246" t="s">
        <v>572</v>
      </c>
      <c r="B18" s="247">
        <v>6000386</v>
      </c>
      <c r="C18" s="153">
        <v>5657001</v>
      </c>
      <c r="D18" s="253" t="s">
        <v>595</v>
      </c>
      <c r="E18" s="253"/>
      <c r="F18" s="254">
        <v>550</v>
      </c>
      <c r="G18" s="254">
        <v>550</v>
      </c>
      <c r="H18" s="250">
        <f t="shared" si="0"/>
        <v>11632.96</v>
      </c>
      <c r="I18" s="119">
        <v>9446.0499999999993</v>
      </c>
      <c r="J18" s="119">
        <v>863.49</v>
      </c>
      <c r="K18" s="119">
        <v>262.5</v>
      </c>
      <c r="L18" s="119">
        <v>1060.92</v>
      </c>
      <c r="M18" s="119"/>
      <c r="N18" s="260"/>
      <c r="O18" s="268">
        <f t="shared" si="1"/>
        <v>-11082.96</v>
      </c>
      <c r="P18" s="252" t="s">
        <v>582</v>
      </c>
      <c r="Q18" s="252"/>
      <c r="R18" s="256">
        <f t="shared" si="3"/>
        <v>11.632959999999999</v>
      </c>
    </row>
    <row r="19" spans="1:18" ht="30">
      <c r="A19" s="246" t="s">
        <v>572</v>
      </c>
      <c r="B19" s="247">
        <v>6000386</v>
      </c>
      <c r="C19" s="153">
        <v>5646001</v>
      </c>
      <c r="D19" s="253" t="s">
        <v>596</v>
      </c>
      <c r="E19" s="253"/>
      <c r="F19" s="254">
        <v>550</v>
      </c>
      <c r="G19" s="254">
        <v>550</v>
      </c>
      <c r="H19" s="250">
        <f t="shared" si="0"/>
        <v>11632.96</v>
      </c>
      <c r="I19" s="119">
        <v>9446.0499999999993</v>
      </c>
      <c r="J19" s="119">
        <v>863.49</v>
      </c>
      <c r="K19" s="119">
        <v>262.5</v>
      </c>
      <c r="L19" s="119">
        <v>1060.92</v>
      </c>
      <c r="M19" s="119"/>
      <c r="N19" s="260"/>
      <c r="O19" s="268">
        <f t="shared" si="1"/>
        <v>-11082.96</v>
      </c>
      <c r="P19" s="252" t="s">
        <v>582</v>
      </c>
      <c r="Q19" s="252"/>
      <c r="R19" s="256">
        <f t="shared" si="3"/>
        <v>11.632959999999999</v>
      </c>
    </row>
    <row r="20" spans="1:18" ht="30">
      <c r="A20" s="246" t="s">
        <v>572</v>
      </c>
      <c r="B20" s="247">
        <v>6000386</v>
      </c>
      <c r="C20" s="153">
        <v>5712001</v>
      </c>
      <c r="D20" s="253" t="s">
        <v>597</v>
      </c>
      <c r="E20" s="253"/>
      <c r="F20" s="254">
        <v>550</v>
      </c>
      <c r="G20" s="254">
        <v>550</v>
      </c>
      <c r="H20" s="250">
        <f t="shared" si="0"/>
        <v>11632.96</v>
      </c>
      <c r="I20" s="119">
        <v>9446.0499999999993</v>
      </c>
      <c r="J20" s="119">
        <v>863.49</v>
      </c>
      <c r="K20" s="119">
        <v>262.5</v>
      </c>
      <c r="L20" s="119">
        <v>1060.92</v>
      </c>
      <c r="M20" s="119"/>
      <c r="N20" s="260"/>
      <c r="O20" s="268">
        <f t="shared" si="1"/>
        <v>-11082.96</v>
      </c>
      <c r="P20" s="252" t="s">
        <v>582</v>
      </c>
      <c r="Q20" s="252"/>
      <c r="R20" s="256">
        <f t="shared" si="3"/>
        <v>11.632959999999999</v>
      </c>
    </row>
    <row r="21" spans="1:18" ht="30">
      <c r="A21" s="246" t="s">
        <v>572</v>
      </c>
      <c r="B21" s="247">
        <v>6000386</v>
      </c>
      <c r="C21" s="153">
        <v>5664001</v>
      </c>
      <c r="D21" s="253" t="s">
        <v>598</v>
      </c>
      <c r="E21" s="253"/>
      <c r="F21" s="254">
        <v>550</v>
      </c>
      <c r="G21" s="254">
        <v>550</v>
      </c>
      <c r="H21" s="250">
        <f t="shared" si="0"/>
        <v>11632.96</v>
      </c>
      <c r="I21" s="119">
        <v>9446.0499999999993</v>
      </c>
      <c r="J21" s="119">
        <v>863.49</v>
      </c>
      <c r="K21" s="119">
        <v>262.5</v>
      </c>
      <c r="L21" s="119">
        <v>1060.92</v>
      </c>
      <c r="M21" s="119"/>
      <c r="N21" s="260"/>
      <c r="O21" s="268">
        <f t="shared" si="1"/>
        <v>-11082.96</v>
      </c>
      <c r="P21" s="252" t="s">
        <v>582</v>
      </c>
      <c r="Q21" s="252"/>
      <c r="R21" s="256">
        <f t="shared" si="3"/>
        <v>11.632959999999999</v>
      </c>
    </row>
    <row r="22" spans="1:18" ht="30">
      <c r="A22" s="246" t="s">
        <v>572</v>
      </c>
      <c r="B22" s="247">
        <v>6000386</v>
      </c>
      <c r="C22" s="153">
        <v>5713001</v>
      </c>
      <c r="D22" s="253" t="s">
        <v>599</v>
      </c>
      <c r="E22" s="253"/>
      <c r="F22" s="254">
        <v>550</v>
      </c>
      <c r="G22" s="254">
        <v>550</v>
      </c>
      <c r="H22" s="250">
        <f t="shared" si="0"/>
        <v>11632.96</v>
      </c>
      <c r="I22" s="119">
        <v>9446.0499999999993</v>
      </c>
      <c r="J22" s="119">
        <v>863.49</v>
      </c>
      <c r="K22" s="119">
        <v>262.5</v>
      </c>
      <c r="L22" s="119">
        <v>1060.92</v>
      </c>
      <c r="M22" s="119"/>
      <c r="N22" s="260"/>
      <c r="O22" s="268">
        <f t="shared" si="1"/>
        <v>-11082.96</v>
      </c>
      <c r="P22" s="252" t="s">
        <v>582</v>
      </c>
      <c r="Q22" s="252"/>
      <c r="R22" s="256">
        <f t="shared" si="3"/>
        <v>11.632959999999999</v>
      </c>
    </row>
    <row r="23" spans="1:18" ht="30">
      <c r="A23" s="246" t="s">
        <v>572</v>
      </c>
      <c r="B23" s="247">
        <v>6000386</v>
      </c>
      <c r="C23" s="153">
        <v>5718001</v>
      </c>
      <c r="D23" s="169" t="s">
        <v>600</v>
      </c>
      <c r="E23" s="159"/>
      <c r="F23" s="160">
        <v>550</v>
      </c>
      <c r="G23" s="119">
        <v>550</v>
      </c>
      <c r="H23" s="250">
        <f t="shared" si="0"/>
        <v>11632.96</v>
      </c>
      <c r="I23" s="119">
        <v>9446.0499999999993</v>
      </c>
      <c r="J23" s="119">
        <v>863.49</v>
      </c>
      <c r="K23" s="119">
        <v>262.5</v>
      </c>
      <c r="L23" s="119">
        <v>1060.92</v>
      </c>
      <c r="M23" s="119"/>
      <c r="N23" s="260"/>
      <c r="O23" s="268">
        <f t="shared" si="1"/>
        <v>-11082.96</v>
      </c>
      <c r="P23" s="252" t="s">
        <v>582</v>
      </c>
      <c r="Q23" s="252"/>
      <c r="R23" s="256">
        <f t="shared" si="3"/>
        <v>11.632959999999999</v>
      </c>
    </row>
    <row r="24" spans="1:18" ht="15" customHeight="1">
      <c r="A24" s="246" t="s">
        <v>572</v>
      </c>
      <c r="B24" s="247">
        <v>6000386</v>
      </c>
      <c r="C24" s="153">
        <v>5625001</v>
      </c>
      <c r="D24" s="169" t="s">
        <v>363</v>
      </c>
      <c r="E24" s="161"/>
      <c r="F24" s="170">
        <v>550</v>
      </c>
      <c r="G24" s="261">
        <v>550</v>
      </c>
      <c r="H24" s="250">
        <f t="shared" si="0"/>
        <v>120169.96000000002</v>
      </c>
      <c r="I24" s="119">
        <f>27048.93+69828.8</f>
        <v>96877.73000000001</v>
      </c>
      <c r="J24" s="119">
        <f>4857.99+613.05+2831.88+634.55</f>
        <v>8937.4699999999993</v>
      </c>
      <c r="K24" s="119">
        <f>1476.83+186.37+860.89+192.9</f>
        <v>2716.99</v>
      </c>
      <c r="L24" s="119">
        <f>799.65+338.12</f>
        <v>1137.77</v>
      </c>
      <c r="M24" s="119">
        <v>10500</v>
      </c>
      <c r="N24" s="252"/>
      <c r="O24" s="268">
        <f t="shared" si="1"/>
        <v>-119619.96000000002</v>
      </c>
      <c r="P24" s="252" t="s">
        <v>601</v>
      </c>
      <c r="Q24" s="252" t="s">
        <v>602</v>
      </c>
      <c r="R24" s="256">
        <f t="shared" si="3"/>
        <v>120.16996000000002</v>
      </c>
    </row>
    <row r="25" spans="1:18" ht="14.25" customHeight="1">
      <c r="A25" s="246" t="s">
        <v>572</v>
      </c>
      <c r="B25" s="247">
        <v>6000386</v>
      </c>
      <c r="C25" s="153">
        <v>5681001</v>
      </c>
      <c r="D25" s="168" t="s">
        <v>603</v>
      </c>
      <c r="E25" s="159"/>
      <c r="F25" s="160">
        <v>550</v>
      </c>
      <c r="G25" s="119">
        <v>550</v>
      </c>
      <c r="H25" s="250">
        <f t="shared" si="0"/>
        <v>11629.859999999999</v>
      </c>
      <c r="I25" s="119">
        <v>9446.0499999999993</v>
      </c>
      <c r="J25" s="119">
        <f>523.9+332.51</f>
        <v>856.41</v>
      </c>
      <c r="K25" s="119">
        <f>159.27+101.08</f>
        <v>260.35000000000002</v>
      </c>
      <c r="L25" s="119">
        <v>1067.05</v>
      </c>
      <c r="M25" s="119"/>
      <c r="N25" s="252"/>
      <c r="O25" s="268">
        <f t="shared" si="1"/>
        <v>-11079.859999999999</v>
      </c>
      <c r="P25" s="252" t="s">
        <v>582</v>
      </c>
      <c r="Q25" s="252"/>
      <c r="R25" s="256">
        <f t="shared" si="3"/>
        <v>11.629859999999999</v>
      </c>
    </row>
    <row r="26" spans="1:18" ht="30">
      <c r="A26" s="246" t="s">
        <v>572</v>
      </c>
      <c r="B26" s="247">
        <v>6000386</v>
      </c>
      <c r="C26" s="153">
        <v>5671001</v>
      </c>
      <c r="D26" s="168" t="s">
        <v>604</v>
      </c>
      <c r="E26" s="159"/>
      <c r="F26" s="160">
        <v>550</v>
      </c>
      <c r="G26" s="119">
        <v>550</v>
      </c>
      <c r="H26" s="250">
        <f t="shared" si="0"/>
        <v>11629.859999999999</v>
      </c>
      <c r="I26" s="119">
        <v>9446.0499999999993</v>
      </c>
      <c r="J26" s="119">
        <v>856.41</v>
      </c>
      <c r="K26" s="119">
        <v>260.35000000000002</v>
      </c>
      <c r="L26" s="119">
        <v>1067.05</v>
      </c>
      <c r="M26" s="119"/>
      <c r="N26" s="252"/>
      <c r="O26" s="268">
        <f t="shared" si="1"/>
        <v>-11079.859999999999</v>
      </c>
      <c r="P26" s="252" t="s">
        <v>582</v>
      </c>
      <c r="Q26" s="252"/>
      <c r="R26" s="256">
        <f t="shared" si="3"/>
        <v>11.629859999999999</v>
      </c>
    </row>
    <row r="27" spans="1:18" ht="30">
      <c r="A27" s="246" t="s">
        <v>572</v>
      </c>
      <c r="B27" s="247">
        <v>6000386</v>
      </c>
      <c r="C27" s="153">
        <v>3251002</v>
      </c>
      <c r="D27" s="168" t="s">
        <v>605</v>
      </c>
      <c r="E27" s="159"/>
      <c r="F27" s="160">
        <v>550</v>
      </c>
      <c r="G27" s="119">
        <v>550</v>
      </c>
      <c r="H27" s="250">
        <f t="shared" si="0"/>
        <v>11629.859999999999</v>
      </c>
      <c r="I27" s="119">
        <v>9446.0499999999993</v>
      </c>
      <c r="J27" s="119">
        <v>856.41</v>
      </c>
      <c r="K27" s="119">
        <v>260.35000000000002</v>
      </c>
      <c r="L27" s="119">
        <v>1067.05</v>
      </c>
      <c r="M27" s="119"/>
      <c r="N27" s="252"/>
      <c r="O27" s="268">
        <f t="shared" si="1"/>
        <v>-11079.859999999999</v>
      </c>
      <c r="P27" s="252" t="s">
        <v>582</v>
      </c>
      <c r="Q27" s="252"/>
      <c r="R27" s="256">
        <f t="shared" si="3"/>
        <v>11.629859999999999</v>
      </c>
    </row>
    <row r="28" spans="1:18" ht="30">
      <c r="A28" s="246" t="s">
        <v>572</v>
      </c>
      <c r="B28" s="247">
        <v>6000386</v>
      </c>
      <c r="C28" s="153">
        <v>5686001</v>
      </c>
      <c r="D28" s="168" t="s">
        <v>606</v>
      </c>
      <c r="E28" s="159"/>
      <c r="F28" s="160">
        <v>550</v>
      </c>
      <c r="G28" s="119">
        <v>550</v>
      </c>
      <c r="H28" s="250">
        <f t="shared" si="0"/>
        <v>11629.859999999999</v>
      </c>
      <c r="I28" s="119">
        <v>9446.0499999999993</v>
      </c>
      <c r="J28" s="119">
        <v>856.41</v>
      </c>
      <c r="K28" s="119">
        <v>260.35000000000002</v>
      </c>
      <c r="L28" s="119">
        <v>1067.05</v>
      </c>
      <c r="M28" s="119"/>
      <c r="N28" s="252"/>
      <c r="O28" s="268">
        <f t="shared" si="1"/>
        <v>-11079.859999999999</v>
      </c>
      <c r="P28" s="252" t="s">
        <v>582</v>
      </c>
      <c r="Q28" s="252"/>
      <c r="R28" s="256">
        <f t="shared" si="3"/>
        <v>11.629859999999999</v>
      </c>
    </row>
    <row r="29" spans="1:18" ht="30">
      <c r="A29" s="246" t="s">
        <v>572</v>
      </c>
      <c r="B29" s="247">
        <v>6000386</v>
      </c>
      <c r="C29" s="153">
        <v>5665001</v>
      </c>
      <c r="D29" s="168" t="s">
        <v>607</v>
      </c>
      <c r="E29" s="159"/>
      <c r="F29" s="160">
        <v>550</v>
      </c>
      <c r="G29" s="119">
        <v>550</v>
      </c>
      <c r="H29" s="250">
        <f t="shared" si="0"/>
        <v>11629.859999999999</v>
      </c>
      <c r="I29" s="119">
        <v>9446.0499999999993</v>
      </c>
      <c r="J29" s="119">
        <v>856.41</v>
      </c>
      <c r="K29" s="119">
        <v>260.35000000000002</v>
      </c>
      <c r="L29" s="119">
        <v>1067.05</v>
      </c>
      <c r="M29" s="119"/>
      <c r="N29" s="252"/>
      <c r="O29" s="268">
        <f t="shared" si="1"/>
        <v>-11079.859999999999</v>
      </c>
      <c r="P29" s="252" t="s">
        <v>582</v>
      </c>
      <c r="Q29" s="252"/>
      <c r="R29" s="256">
        <f t="shared" si="3"/>
        <v>11.629859999999999</v>
      </c>
    </row>
    <row r="30" spans="1:18" ht="30">
      <c r="A30" s="246" t="s">
        <v>572</v>
      </c>
      <c r="B30" s="247">
        <v>6000386</v>
      </c>
      <c r="C30" s="153">
        <v>5687001</v>
      </c>
      <c r="D30" s="168" t="s">
        <v>608</v>
      </c>
      <c r="E30" s="159"/>
      <c r="F30" s="160">
        <v>550</v>
      </c>
      <c r="G30" s="119">
        <v>550</v>
      </c>
      <c r="H30" s="250">
        <f t="shared" si="0"/>
        <v>11629.859999999999</v>
      </c>
      <c r="I30" s="119">
        <v>9446.0499999999993</v>
      </c>
      <c r="J30" s="119">
        <v>856.41</v>
      </c>
      <c r="K30" s="119">
        <v>260.35000000000002</v>
      </c>
      <c r="L30" s="119">
        <v>1067.05</v>
      </c>
      <c r="M30" s="119"/>
      <c r="N30" s="252"/>
      <c r="O30" s="268">
        <f t="shared" si="1"/>
        <v>-11079.859999999999</v>
      </c>
      <c r="P30" s="252" t="s">
        <v>582</v>
      </c>
      <c r="Q30" s="252"/>
      <c r="R30" s="256">
        <f t="shared" si="3"/>
        <v>11.629859999999999</v>
      </c>
    </row>
    <row r="31" spans="1:18" ht="30">
      <c r="A31" s="246" t="s">
        <v>572</v>
      </c>
      <c r="B31" s="247">
        <v>6000386</v>
      </c>
      <c r="C31" s="153">
        <v>5564004</v>
      </c>
      <c r="D31" s="168" t="s">
        <v>358</v>
      </c>
      <c r="E31" s="159"/>
      <c r="F31" s="160">
        <v>550</v>
      </c>
      <c r="G31" s="119">
        <v>550</v>
      </c>
      <c r="H31" s="250">
        <f t="shared" si="0"/>
        <v>11629.859999999999</v>
      </c>
      <c r="I31" s="119">
        <v>9446.0499999999993</v>
      </c>
      <c r="J31" s="119">
        <v>856.41</v>
      </c>
      <c r="K31" s="119">
        <v>260.35000000000002</v>
      </c>
      <c r="L31" s="119">
        <v>1067.05</v>
      </c>
      <c r="M31" s="119"/>
      <c r="N31" s="252"/>
      <c r="O31" s="268">
        <f t="shared" si="1"/>
        <v>-11079.859999999999</v>
      </c>
      <c r="P31" s="252" t="s">
        <v>582</v>
      </c>
      <c r="Q31" s="252"/>
      <c r="R31" s="256">
        <f t="shared" si="3"/>
        <v>11.629859999999999</v>
      </c>
    </row>
    <row r="32" spans="1:18" ht="30">
      <c r="A32" s="246" t="s">
        <v>572</v>
      </c>
      <c r="B32" s="247">
        <v>6000386</v>
      </c>
      <c r="C32" s="153">
        <v>5603001</v>
      </c>
      <c r="D32" s="168" t="s">
        <v>357</v>
      </c>
      <c r="E32" s="159"/>
      <c r="F32" s="160">
        <v>550</v>
      </c>
      <c r="G32" s="119">
        <v>550</v>
      </c>
      <c r="H32" s="250">
        <f t="shared" si="0"/>
        <v>11629.859999999999</v>
      </c>
      <c r="I32" s="119">
        <v>9446.0499999999993</v>
      </c>
      <c r="J32" s="119">
        <v>856.41</v>
      </c>
      <c r="K32" s="119">
        <v>260.35000000000002</v>
      </c>
      <c r="L32" s="119">
        <v>1067.05</v>
      </c>
      <c r="M32" s="119"/>
      <c r="N32" s="252"/>
      <c r="O32" s="268">
        <f t="shared" si="1"/>
        <v>-11079.859999999999</v>
      </c>
      <c r="P32" s="252" t="s">
        <v>582</v>
      </c>
      <c r="Q32" s="252"/>
      <c r="R32" s="256">
        <f t="shared" si="3"/>
        <v>11.629859999999999</v>
      </c>
    </row>
    <row r="33" spans="1:18" ht="30">
      <c r="A33" s="246" t="s">
        <v>572</v>
      </c>
      <c r="B33" s="247">
        <v>6000386</v>
      </c>
      <c r="C33" s="153">
        <v>5724001</v>
      </c>
      <c r="D33" s="168" t="s">
        <v>609</v>
      </c>
      <c r="E33" s="161"/>
      <c r="F33" s="160">
        <v>550</v>
      </c>
      <c r="G33" s="119">
        <v>550</v>
      </c>
      <c r="H33" s="250">
        <f t="shared" si="0"/>
        <v>11629.859999999999</v>
      </c>
      <c r="I33" s="119">
        <v>9446.0499999999993</v>
      </c>
      <c r="J33" s="119">
        <v>856.41</v>
      </c>
      <c r="K33" s="119">
        <v>260.35000000000002</v>
      </c>
      <c r="L33" s="119">
        <v>1067.05</v>
      </c>
      <c r="M33" s="119"/>
      <c r="N33" s="252"/>
      <c r="O33" s="268">
        <f t="shared" si="1"/>
        <v>-11079.859999999999</v>
      </c>
      <c r="P33" s="252" t="s">
        <v>582</v>
      </c>
      <c r="Q33" s="252"/>
      <c r="R33" s="256">
        <f t="shared" si="3"/>
        <v>11.629859999999999</v>
      </c>
    </row>
    <row r="34" spans="1:18" ht="30">
      <c r="A34" s="246" t="s">
        <v>572</v>
      </c>
      <c r="B34" s="247">
        <v>6000386</v>
      </c>
      <c r="C34" s="153">
        <v>5734001</v>
      </c>
      <c r="D34" s="252" t="s">
        <v>610</v>
      </c>
      <c r="E34" s="153"/>
      <c r="F34" s="160">
        <v>550</v>
      </c>
      <c r="G34" s="119">
        <v>550</v>
      </c>
      <c r="H34" s="250">
        <f t="shared" si="0"/>
        <v>11629.859999999999</v>
      </c>
      <c r="I34" s="119">
        <v>9446.0499999999993</v>
      </c>
      <c r="J34" s="119">
        <v>856.41</v>
      </c>
      <c r="K34" s="119">
        <v>260.35000000000002</v>
      </c>
      <c r="L34" s="119">
        <v>1067.05</v>
      </c>
      <c r="M34" s="119"/>
      <c r="N34" s="252"/>
      <c r="O34" s="268">
        <f t="shared" si="1"/>
        <v>-11079.859999999999</v>
      </c>
      <c r="P34" s="252" t="s">
        <v>582</v>
      </c>
      <c r="Q34" s="252"/>
      <c r="R34" s="256">
        <f t="shared" si="3"/>
        <v>11.629859999999999</v>
      </c>
    </row>
    <row r="35" spans="1:18" ht="30">
      <c r="A35" s="246" t="s">
        <v>572</v>
      </c>
      <c r="B35" s="247">
        <v>6000386</v>
      </c>
      <c r="C35" s="153">
        <v>5725001</v>
      </c>
      <c r="D35" s="252" t="s">
        <v>611</v>
      </c>
      <c r="E35" s="153"/>
      <c r="F35" s="160">
        <v>550</v>
      </c>
      <c r="G35" s="119">
        <v>550</v>
      </c>
      <c r="H35" s="250">
        <f t="shared" si="0"/>
        <v>11629.859999999999</v>
      </c>
      <c r="I35" s="119">
        <v>9446.0499999999993</v>
      </c>
      <c r="J35" s="119">
        <v>856.41</v>
      </c>
      <c r="K35" s="119">
        <v>260.35000000000002</v>
      </c>
      <c r="L35" s="119">
        <v>1067.05</v>
      </c>
      <c r="M35" s="119"/>
      <c r="N35" s="252"/>
      <c r="O35" s="268">
        <f t="shared" si="1"/>
        <v>-11079.859999999999</v>
      </c>
      <c r="P35" s="252" t="s">
        <v>582</v>
      </c>
      <c r="Q35" s="252"/>
      <c r="R35" s="256">
        <f t="shared" si="3"/>
        <v>11.629859999999999</v>
      </c>
    </row>
    <row r="36" spans="1:18" ht="30">
      <c r="A36" s="246" t="s">
        <v>572</v>
      </c>
      <c r="B36" s="247">
        <v>6000386</v>
      </c>
      <c r="C36" s="153">
        <v>4510002</v>
      </c>
      <c r="D36" s="252" t="s">
        <v>612</v>
      </c>
      <c r="E36" s="153"/>
      <c r="F36" s="160">
        <v>550</v>
      </c>
      <c r="G36" s="119">
        <v>550</v>
      </c>
      <c r="H36" s="250">
        <f t="shared" si="0"/>
        <v>11629.859999999999</v>
      </c>
      <c r="I36" s="119">
        <v>9446.0499999999993</v>
      </c>
      <c r="J36" s="119">
        <v>856.41</v>
      </c>
      <c r="K36" s="119">
        <v>260.35000000000002</v>
      </c>
      <c r="L36" s="119">
        <v>1067.05</v>
      </c>
      <c r="M36" s="119"/>
      <c r="N36" s="252"/>
      <c r="O36" s="268">
        <f t="shared" si="1"/>
        <v>-11079.859999999999</v>
      </c>
      <c r="P36" s="252" t="s">
        <v>582</v>
      </c>
      <c r="Q36" s="252"/>
      <c r="R36" s="256">
        <f t="shared" si="3"/>
        <v>11.629859999999999</v>
      </c>
    </row>
    <row r="37" spans="1:18" ht="30">
      <c r="A37" s="246" t="s">
        <v>572</v>
      </c>
      <c r="B37" s="247">
        <v>6000386</v>
      </c>
      <c r="C37" s="153">
        <v>5731001</v>
      </c>
      <c r="D37" s="252" t="s">
        <v>613</v>
      </c>
      <c r="E37" s="153"/>
      <c r="F37" s="160">
        <v>550</v>
      </c>
      <c r="G37" s="119">
        <v>550</v>
      </c>
      <c r="H37" s="250">
        <f t="shared" si="0"/>
        <v>11629.859999999999</v>
      </c>
      <c r="I37" s="119">
        <v>9446.0499999999993</v>
      </c>
      <c r="J37" s="119">
        <v>856.41</v>
      </c>
      <c r="K37" s="119">
        <v>260.35000000000002</v>
      </c>
      <c r="L37" s="119">
        <v>1067.05</v>
      </c>
      <c r="M37" s="119"/>
      <c r="N37" s="252"/>
      <c r="O37" s="268">
        <f t="shared" si="1"/>
        <v>-11079.859999999999</v>
      </c>
      <c r="P37" s="252" t="s">
        <v>582</v>
      </c>
      <c r="Q37" s="252"/>
      <c r="R37" s="256">
        <f t="shared" si="3"/>
        <v>11.629859999999999</v>
      </c>
    </row>
    <row r="38" spans="1:18" ht="30">
      <c r="A38" s="246" t="s">
        <v>572</v>
      </c>
      <c r="B38" s="247">
        <v>6000386</v>
      </c>
      <c r="C38" s="153">
        <v>5707001</v>
      </c>
      <c r="D38" s="252" t="s">
        <v>614</v>
      </c>
      <c r="E38" s="153"/>
      <c r="F38" s="160">
        <v>550</v>
      </c>
      <c r="G38" s="119">
        <v>550</v>
      </c>
      <c r="H38" s="250">
        <f t="shared" si="0"/>
        <v>11629.859999999999</v>
      </c>
      <c r="I38" s="119">
        <v>9446.0499999999993</v>
      </c>
      <c r="J38" s="119">
        <v>856.41</v>
      </c>
      <c r="K38" s="119">
        <v>260.35000000000002</v>
      </c>
      <c r="L38" s="119">
        <v>1067.05</v>
      </c>
      <c r="M38" s="119"/>
      <c r="N38" s="252"/>
      <c r="O38" s="268">
        <f t="shared" si="1"/>
        <v>-11079.859999999999</v>
      </c>
      <c r="P38" s="252" t="s">
        <v>582</v>
      </c>
      <c r="Q38" s="252"/>
      <c r="R38" s="256">
        <f t="shared" si="3"/>
        <v>11.629859999999999</v>
      </c>
    </row>
    <row r="39" spans="1:18" ht="30">
      <c r="A39" s="246" t="s">
        <v>572</v>
      </c>
      <c r="B39" s="247">
        <v>6000386</v>
      </c>
      <c r="C39" s="153">
        <v>2868001</v>
      </c>
      <c r="D39" s="252" t="s">
        <v>615</v>
      </c>
      <c r="E39" s="153"/>
      <c r="F39" s="160">
        <v>550</v>
      </c>
      <c r="G39" s="119">
        <v>550</v>
      </c>
      <c r="H39" s="250">
        <f t="shared" si="0"/>
        <v>11629.859999999999</v>
      </c>
      <c r="I39" s="119">
        <v>9446.0499999999993</v>
      </c>
      <c r="J39" s="119">
        <v>856.41</v>
      </c>
      <c r="K39" s="119">
        <v>260.35000000000002</v>
      </c>
      <c r="L39" s="119">
        <v>1067.05</v>
      </c>
      <c r="M39" s="119"/>
      <c r="N39" s="252"/>
      <c r="O39" s="268">
        <f t="shared" si="1"/>
        <v>-11079.859999999999</v>
      </c>
      <c r="P39" s="252" t="s">
        <v>582</v>
      </c>
      <c r="Q39" s="252"/>
      <c r="R39" s="256">
        <f t="shared" si="3"/>
        <v>11.629859999999999</v>
      </c>
    </row>
    <row r="40" spans="1:18" ht="30">
      <c r="A40" s="246" t="s">
        <v>572</v>
      </c>
      <c r="B40" s="247">
        <v>6000386</v>
      </c>
      <c r="C40" s="153">
        <v>5694001</v>
      </c>
      <c r="D40" s="252" t="s">
        <v>616</v>
      </c>
      <c r="E40" s="153"/>
      <c r="F40" s="160">
        <v>550</v>
      </c>
      <c r="G40" s="119">
        <v>550</v>
      </c>
      <c r="H40" s="250">
        <f t="shared" si="0"/>
        <v>11629.859999999999</v>
      </c>
      <c r="I40" s="119">
        <v>9446.0499999999993</v>
      </c>
      <c r="J40" s="119">
        <v>856.41</v>
      </c>
      <c r="K40" s="119">
        <v>260.35000000000002</v>
      </c>
      <c r="L40" s="119">
        <v>1067.05</v>
      </c>
      <c r="M40" s="119"/>
      <c r="N40" s="252"/>
      <c r="O40" s="268">
        <f t="shared" si="1"/>
        <v>-11079.859999999999</v>
      </c>
      <c r="P40" s="252" t="s">
        <v>582</v>
      </c>
      <c r="Q40" s="252"/>
      <c r="R40" s="256">
        <f t="shared" si="3"/>
        <v>11.629859999999999</v>
      </c>
    </row>
    <row r="41" spans="1:18" ht="30">
      <c r="A41" s="246" t="s">
        <v>572</v>
      </c>
      <c r="B41" s="247">
        <v>6000386</v>
      </c>
      <c r="C41" s="153">
        <v>5729001</v>
      </c>
      <c r="D41" s="252" t="s">
        <v>617</v>
      </c>
      <c r="E41" s="153"/>
      <c r="F41" s="160">
        <v>550</v>
      </c>
      <c r="G41" s="119">
        <v>550</v>
      </c>
      <c r="H41" s="250">
        <f t="shared" si="0"/>
        <v>11629.859999999999</v>
      </c>
      <c r="I41" s="119">
        <v>9446.0499999999993</v>
      </c>
      <c r="J41" s="119">
        <v>856.41</v>
      </c>
      <c r="K41" s="119">
        <v>260.35000000000002</v>
      </c>
      <c r="L41" s="119">
        <v>1067.05</v>
      </c>
      <c r="M41" s="119"/>
      <c r="N41" s="252"/>
      <c r="O41" s="268">
        <f t="shared" si="1"/>
        <v>-11079.859999999999</v>
      </c>
      <c r="P41" s="252" t="s">
        <v>582</v>
      </c>
      <c r="Q41" s="252"/>
      <c r="R41" s="256">
        <f t="shared" si="3"/>
        <v>11.629859999999999</v>
      </c>
    </row>
    <row r="42" spans="1:18" ht="30">
      <c r="A42" s="246" t="s">
        <v>572</v>
      </c>
      <c r="B42" s="247">
        <v>6000386</v>
      </c>
      <c r="C42" s="153">
        <v>5650001</v>
      </c>
      <c r="D42" s="252" t="s">
        <v>318</v>
      </c>
      <c r="E42" s="153"/>
      <c r="F42" s="160">
        <v>550</v>
      </c>
      <c r="G42" s="119">
        <v>550</v>
      </c>
      <c r="H42" s="250">
        <f t="shared" si="0"/>
        <v>11629.859999999999</v>
      </c>
      <c r="I42" s="119">
        <v>9446.0499999999993</v>
      </c>
      <c r="J42" s="119">
        <v>856.41</v>
      </c>
      <c r="K42" s="119">
        <v>260.35000000000002</v>
      </c>
      <c r="L42" s="119">
        <v>1067.05</v>
      </c>
      <c r="M42" s="119"/>
      <c r="N42" s="252"/>
      <c r="O42" s="268">
        <f t="shared" si="1"/>
        <v>-11079.859999999999</v>
      </c>
      <c r="P42" s="252" t="s">
        <v>582</v>
      </c>
      <c r="Q42" s="252"/>
      <c r="R42" s="256">
        <f t="shared" si="3"/>
        <v>11.629859999999999</v>
      </c>
    </row>
    <row r="43" spans="1:18" ht="30" customHeight="1">
      <c r="A43" s="246" t="s">
        <v>572</v>
      </c>
      <c r="B43" s="247">
        <v>6000386</v>
      </c>
      <c r="C43" s="153">
        <v>4421002</v>
      </c>
      <c r="D43" s="153" t="s">
        <v>342</v>
      </c>
      <c r="E43" s="153"/>
      <c r="F43" s="160">
        <v>550</v>
      </c>
      <c r="G43" s="119">
        <v>550</v>
      </c>
      <c r="H43" s="250">
        <f t="shared" si="0"/>
        <v>11579.01</v>
      </c>
      <c r="I43" s="119">
        <v>9719.32</v>
      </c>
      <c r="J43" s="119">
        <f>849.57+317.28</f>
        <v>1166.8499999999999</v>
      </c>
      <c r="K43" s="119">
        <f>258.27+96.45</f>
        <v>354.71999999999997</v>
      </c>
      <c r="L43" s="119">
        <v>338.12</v>
      </c>
      <c r="M43" s="119"/>
      <c r="N43" s="252"/>
      <c r="O43" s="268">
        <f t="shared" si="1"/>
        <v>-11029.01</v>
      </c>
      <c r="P43" s="252" t="s">
        <v>582</v>
      </c>
      <c r="Q43" s="252" t="s">
        <v>618</v>
      </c>
      <c r="R43" s="256">
        <f t="shared" si="3"/>
        <v>11.57901</v>
      </c>
    </row>
    <row r="44" spans="1:18" ht="30" customHeight="1">
      <c r="A44" s="246" t="s">
        <v>572</v>
      </c>
      <c r="B44" s="247">
        <v>6000386</v>
      </c>
      <c r="C44" s="153">
        <v>5703001</v>
      </c>
      <c r="D44" s="252" t="s">
        <v>619</v>
      </c>
      <c r="E44" s="153"/>
      <c r="F44" s="160">
        <v>550</v>
      </c>
      <c r="G44" s="119">
        <v>550</v>
      </c>
      <c r="H44" s="250">
        <f t="shared" si="0"/>
        <v>11721.43</v>
      </c>
      <c r="I44" s="119">
        <v>9861.74</v>
      </c>
      <c r="J44" s="119">
        <v>1166.8499999999999</v>
      </c>
      <c r="K44" s="119">
        <v>354.72</v>
      </c>
      <c r="L44" s="119">
        <v>338.12</v>
      </c>
      <c r="M44" s="119"/>
      <c r="N44" s="252"/>
      <c r="O44" s="268">
        <f t="shared" si="1"/>
        <v>-11171.43</v>
      </c>
      <c r="P44" s="252" t="s">
        <v>582</v>
      </c>
      <c r="Q44" s="252" t="s">
        <v>620</v>
      </c>
      <c r="R44" s="256">
        <f t="shared" si="3"/>
        <v>11.72143</v>
      </c>
    </row>
    <row r="45" spans="1:18" ht="15" customHeight="1">
      <c r="A45" s="246" t="s">
        <v>572</v>
      </c>
      <c r="B45" s="247">
        <v>6000386</v>
      </c>
      <c r="C45" s="153">
        <v>5659001</v>
      </c>
      <c r="D45" s="252" t="s">
        <v>621</v>
      </c>
      <c r="E45" s="153"/>
      <c r="F45" s="160">
        <v>550</v>
      </c>
      <c r="G45" s="119">
        <v>550</v>
      </c>
      <c r="H45" s="250">
        <f t="shared" si="0"/>
        <v>4771.3899999999994</v>
      </c>
      <c r="I45" s="119">
        <v>2911.7</v>
      </c>
      <c r="J45" s="119">
        <v>1166.8499999999999</v>
      </c>
      <c r="K45" s="119">
        <v>354.72</v>
      </c>
      <c r="L45" s="119">
        <v>338.12</v>
      </c>
      <c r="M45" s="119"/>
      <c r="N45" s="252"/>
      <c r="O45" s="268">
        <f t="shared" si="1"/>
        <v>-4221.3899999999994</v>
      </c>
      <c r="P45" s="252" t="s">
        <v>601</v>
      </c>
      <c r="Q45" s="252" t="s">
        <v>622</v>
      </c>
      <c r="R45" s="256">
        <f t="shared" si="3"/>
        <v>4.7713899999999994</v>
      </c>
    </row>
    <row r="46" spans="1:18" ht="15" customHeight="1">
      <c r="A46" s="246" t="s">
        <v>572</v>
      </c>
      <c r="B46" s="247">
        <v>6000386</v>
      </c>
      <c r="C46" s="153">
        <v>5661001</v>
      </c>
      <c r="D46" s="252" t="s">
        <v>623</v>
      </c>
      <c r="E46" s="153"/>
      <c r="F46" s="160">
        <v>550</v>
      </c>
      <c r="G46" s="119">
        <v>550</v>
      </c>
      <c r="H46" s="250">
        <f t="shared" si="0"/>
        <v>4737.21</v>
      </c>
      <c r="I46" s="119">
        <v>2877.52</v>
      </c>
      <c r="J46" s="119">
        <v>1166.8499999999999</v>
      </c>
      <c r="K46" s="119">
        <v>354.72</v>
      </c>
      <c r="L46" s="119">
        <v>338.12</v>
      </c>
      <c r="M46" s="119"/>
      <c r="N46" s="252"/>
      <c r="O46" s="268">
        <f t="shared" si="1"/>
        <v>-4187.21</v>
      </c>
      <c r="P46" s="252" t="s">
        <v>601</v>
      </c>
      <c r="Q46" s="252" t="s">
        <v>624</v>
      </c>
      <c r="R46" s="256">
        <f t="shared" si="3"/>
        <v>4.7372100000000001</v>
      </c>
    </row>
    <row r="47" spans="1:18" ht="15" customHeight="1">
      <c r="A47" s="246" t="s">
        <v>572</v>
      </c>
      <c r="B47" s="247">
        <v>6000386</v>
      </c>
      <c r="C47" s="153">
        <v>5666001</v>
      </c>
      <c r="D47" s="252" t="s">
        <v>385</v>
      </c>
      <c r="E47" s="153"/>
      <c r="F47" s="160">
        <v>550</v>
      </c>
      <c r="G47" s="119">
        <v>550</v>
      </c>
      <c r="H47" s="250">
        <f t="shared" si="0"/>
        <v>4771.3899999999994</v>
      </c>
      <c r="I47" s="119">
        <v>2911.7</v>
      </c>
      <c r="J47" s="119">
        <v>1166.8499999999999</v>
      </c>
      <c r="K47" s="119">
        <v>354.72</v>
      </c>
      <c r="L47" s="119">
        <v>338.12</v>
      </c>
      <c r="M47" s="119"/>
      <c r="N47" s="252"/>
      <c r="O47" s="268">
        <f t="shared" si="1"/>
        <v>-4221.3899999999994</v>
      </c>
      <c r="P47" s="252" t="s">
        <v>601</v>
      </c>
      <c r="Q47" s="252" t="s">
        <v>625</v>
      </c>
      <c r="R47" s="256">
        <f t="shared" si="3"/>
        <v>4.7713899999999994</v>
      </c>
    </row>
    <row r="48" spans="1:18" ht="15" customHeight="1">
      <c r="A48" s="246" t="s">
        <v>572</v>
      </c>
      <c r="B48" s="247">
        <v>6000386</v>
      </c>
      <c r="C48" s="153">
        <v>5667001</v>
      </c>
      <c r="D48" s="252" t="s">
        <v>626</v>
      </c>
      <c r="E48" s="153"/>
      <c r="F48" s="160">
        <v>550</v>
      </c>
      <c r="G48" s="119">
        <v>550</v>
      </c>
      <c r="H48" s="250">
        <f t="shared" si="0"/>
        <v>4737.21</v>
      </c>
      <c r="I48" s="119">
        <v>2877.52</v>
      </c>
      <c r="J48" s="119">
        <v>1166.8499999999999</v>
      </c>
      <c r="K48" s="119">
        <v>354.72</v>
      </c>
      <c r="L48" s="119">
        <v>338.12</v>
      </c>
      <c r="M48" s="119"/>
      <c r="N48" s="252"/>
      <c r="O48" s="268">
        <f t="shared" si="1"/>
        <v>-4187.21</v>
      </c>
      <c r="P48" s="252" t="s">
        <v>601</v>
      </c>
      <c r="Q48" s="252" t="s">
        <v>627</v>
      </c>
      <c r="R48" s="256">
        <f t="shared" si="3"/>
        <v>4.7372100000000001</v>
      </c>
    </row>
    <row r="49" spans="1:18" ht="15" customHeight="1">
      <c r="A49" s="246" t="s">
        <v>572</v>
      </c>
      <c r="B49" s="247">
        <v>6000386</v>
      </c>
      <c r="C49" s="153">
        <v>5668001</v>
      </c>
      <c r="D49" s="252" t="s">
        <v>628</v>
      </c>
      <c r="E49" s="153"/>
      <c r="F49" s="160">
        <v>550</v>
      </c>
      <c r="G49" s="119">
        <v>550</v>
      </c>
      <c r="H49" s="250">
        <f t="shared" si="0"/>
        <v>4737.21</v>
      </c>
      <c r="I49" s="119">
        <v>2877.52</v>
      </c>
      <c r="J49" s="119">
        <v>1166.8499999999999</v>
      </c>
      <c r="K49" s="119">
        <v>354.72</v>
      </c>
      <c r="L49" s="119">
        <v>338.12</v>
      </c>
      <c r="M49" s="119"/>
      <c r="N49" s="252"/>
      <c r="O49" s="268">
        <f t="shared" si="1"/>
        <v>-4187.21</v>
      </c>
      <c r="P49" s="252" t="s">
        <v>601</v>
      </c>
      <c r="Q49" s="252" t="s">
        <v>629</v>
      </c>
      <c r="R49" s="256">
        <f t="shared" si="3"/>
        <v>4.7372100000000001</v>
      </c>
    </row>
    <row r="50" spans="1:18" ht="15" customHeight="1">
      <c r="A50" s="246" t="s">
        <v>572</v>
      </c>
      <c r="B50" s="247">
        <v>6000386</v>
      </c>
      <c r="C50" s="153">
        <v>5669001</v>
      </c>
      <c r="D50" s="252" t="s">
        <v>630</v>
      </c>
      <c r="E50" s="153"/>
      <c r="F50" s="160">
        <v>550</v>
      </c>
      <c r="G50" s="119">
        <v>550</v>
      </c>
      <c r="H50" s="250">
        <f t="shared" si="0"/>
        <v>4737.21</v>
      </c>
      <c r="I50" s="119">
        <v>2877.52</v>
      </c>
      <c r="J50" s="119">
        <v>1166.8499999999999</v>
      </c>
      <c r="K50" s="119">
        <v>354.72</v>
      </c>
      <c r="L50" s="119">
        <v>338.12</v>
      </c>
      <c r="M50" s="119"/>
      <c r="N50" s="252"/>
      <c r="O50" s="268">
        <f t="shared" si="1"/>
        <v>-4187.21</v>
      </c>
      <c r="P50" s="252" t="s">
        <v>601</v>
      </c>
      <c r="Q50" s="252" t="s">
        <v>631</v>
      </c>
      <c r="R50" s="256">
        <f t="shared" si="3"/>
        <v>4.7372100000000001</v>
      </c>
    </row>
    <row r="51" spans="1:18" ht="15" customHeight="1">
      <c r="A51" s="246" t="s">
        <v>572</v>
      </c>
      <c r="B51" s="247">
        <v>6000386</v>
      </c>
      <c r="C51" s="153">
        <v>5676001</v>
      </c>
      <c r="D51" s="252" t="s">
        <v>632</v>
      </c>
      <c r="E51" s="153"/>
      <c r="F51" s="160">
        <v>550</v>
      </c>
      <c r="G51" s="119">
        <v>550</v>
      </c>
      <c r="H51" s="250">
        <f t="shared" si="0"/>
        <v>4771.3899999999994</v>
      </c>
      <c r="I51" s="119">
        <v>2911.7</v>
      </c>
      <c r="J51" s="119">
        <v>1166.8499999999999</v>
      </c>
      <c r="K51" s="119">
        <v>354.72</v>
      </c>
      <c r="L51" s="119">
        <v>338.12</v>
      </c>
      <c r="M51" s="119"/>
      <c r="N51" s="252"/>
      <c r="O51" s="268">
        <f t="shared" si="1"/>
        <v>-4221.3899999999994</v>
      </c>
      <c r="P51" s="252" t="s">
        <v>601</v>
      </c>
      <c r="Q51" s="252" t="s">
        <v>633</v>
      </c>
      <c r="R51" s="256">
        <f t="shared" si="3"/>
        <v>4.7713899999999994</v>
      </c>
    </row>
    <row r="52" spans="1:18" ht="15" customHeight="1">
      <c r="A52" s="246" t="s">
        <v>572</v>
      </c>
      <c r="B52" s="247">
        <v>6000386</v>
      </c>
      <c r="C52" s="153">
        <v>5679001</v>
      </c>
      <c r="D52" s="252" t="s">
        <v>634</v>
      </c>
      <c r="E52" s="153"/>
      <c r="F52" s="160">
        <v>550</v>
      </c>
      <c r="G52" s="119">
        <v>550</v>
      </c>
      <c r="H52" s="250">
        <f t="shared" si="0"/>
        <v>4737.21</v>
      </c>
      <c r="I52" s="119">
        <v>2877.52</v>
      </c>
      <c r="J52" s="119">
        <v>1166.8499999999999</v>
      </c>
      <c r="K52" s="119">
        <v>354.72</v>
      </c>
      <c r="L52" s="119">
        <v>338.12</v>
      </c>
      <c r="M52" s="119"/>
      <c r="N52" s="252"/>
      <c r="O52" s="268">
        <f t="shared" si="1"/>
        <v>-4187.21</v>
      </c>
      <c r="P52" s="252" t="s">
        <v>601</v>
      </c>
      <c r="Q52" s="252" t="s">
        <v>635</v>
      </c>
      <c r="R52" s="256">
        <f t="shared" si="3"/>
        <v>4.7372100000000001</v>
      </c>
    </row>
    <row r="53" spans="1:18" ht="15" customHeight="1">
      <c r="A53" s="246" t="s">
        <v>572</v>
      </c>
      <c r="B53" s="247">
        <v>6000386</v>
      </c>
      <c r="C53" s="153">
        <v>5688001</v>
      </c>
      <c r="D53" s="252" t="s">
        <v>636</v>
      </c>
      <c r="E53" s="153"/>
      <c r="F53" s="160">
        <v>550</v>
      </c>
      <c r="G53" s="119">
        <v>550</v>
      </c>
      <c r="H53" s="250">
        <f t="shared" si="0"/>
        <v>4737.21</v>
      </c>
      <c r="I53" s="119">
        <v>2877.52</v>
      </c>
      <c r="J53" s="119">
        <v>1166.8499999999999</v>
      </c>
      <c r="K53" s="119">
        <v>354.72</v>
      </c>
      <c r="L53" s="119">
        <v>338.12</v>
      </c>
      <c r="M53" s="119"/>
      <c r="N53" s="252"/>
      <c r="O53" s="268">
        <f t="shared" si="1"/>
        <v>-4187.21</v>
      </c>
      <c r="P53" s="252" t="s">
        <v>601</v>
      </c>
      <c r="Q53" s="252" t="s">
        <v>637</v>
      </c>
      <c r="R53" s="256">
        <f t="shared" si="3"/>
        <v>4.7372100000000001</v>
      </c>
    </row>
    <row r="54" spans="1:18" ht="15" customHeight="1">
      <c r="A54" s="246" t="s">
        <v>572</v>
      </c>
      <c r="B54" s="247">
        <v>6000386</v>
      </c>
      <c r="C54" s="153">
        <v>5689001</v>
      </c>
      <c r="D54" s="252" t="s">
        <v>638</v>
      </c>
      <c r="E54" s="153"/>
      <c r="F54" s="160">
        <v>550</v>
      </c>
      <c r="G54" s="119">
        <v>550</v>
      </c>
      <c r="H54" s="250">
        <f t="shared" si="0"/>
        <v>4737.21</v>
      </c>
      <c r="I54" s="119">
        <v>2877.52</v>
      </c>
      <c r="J54" s="119">
        <v>1166.8499999999999</v>
      </c>
      <c r="K54" s="119">
        <v>354.72</v>
      </c>
      <c r="L54" s="119">
        <v>338.12</v>
      </c>
      <c r="M54" s="119"/>
      <c r="N54" s="252"/>
      <c r="O54" s="268">
        <f t="shared" si="1"/>
        <v>-4187.21</v>
      </c>
      <c r="P54" s="252" t="s">
        <v>601</v>
      </c>
      <c r="Q54" s="252" t="s">
        <v>639</v>
      </c>
      <c r="R54" s="256">
        <f t="shared" si="3"/>
        <v>4.7372100000000001</v>
      </c>
    </row>
    <row r="55" spans="1:18" ht="15" customHeight="1">
      <c r="A55" s="246" t="s">
        <v>572</v>
      </c>
      <c r="B55" s="247">
        <v>6000386</v>
      </c>
      <c r="C55" s="153">
        <v>5700001</v>
      </c>
      <c r="D55" s="252" t="s">
        <v>640</v>
      </c>
      <c r="E55" s="153"/>
      <c r="F55" s="160">
        <v>550</v>
      </c>
      <c r="G55" s="119">
        <v>550</v>
      </c>
      <c r="H55" s="250">
        <f t="shared" si="0"/>
        <v>4737.21</v>
      </c>
      <c r="I55" s="119">
        <v>2877.52</v>
      </c>
      <c r="J55" s="119">
        <v>1166.8499999999999</v>
      </c>
      <c r="K55" s="119">
        <v>354.72</v>
      </c>
      <c r="L55" s="119">
        <v>338.12</v>
      </c>
      <c r="M55" s="119"/>
      <c r="N55" s="252"/>
      <c r="O55" s="268">
        <f t="shared" si="1"/>
        <v>-4187.21</v>
      </c>
      <c r="P55" s="252" t="s">
        <v>601</v>
      </c>
      <c r="Q55" s="252" t="s">
        <v>641</v>
      </c>
      <c r="R55" s="256">
        <f t="shared" si="3"/>
        <v>4.7372100000000001</v>
      </c>
    </row>
    <row r="56" spans="1:18" ht="15" customHeight="1">
      <c r="A56" s="246" t="s">
        <v>572</v>
      </c>
      <c r="B56" s="247">
        <v>6000386</v>
      </c>
      <c r="C56" s="153">
        <v>5704001</v>
      </c>
      <c r="D56" s="252" t="s">
        <v>642</v>
      </c>
      <c r="E56" s="153"/>
      <c r="F56" s="160">
        <v>550</v>
      </c>
      <c r="G56" s="119">
        <v>550</v>
      </c>
      <c r="H56" s="250">
        <f t="shared" si="0"/>
        <v>4839.75</v>
      </c>
      <c r="I56" s="119">
        <v>2980.06</v>
      </c>
      <c r="J56" s="119">
        <v>1166.8499999999999</v>
      </c>
      <c r="K56" s="119">
        <v>354.72</v>
      </c>
      <c r="L56" s="119">
        <v>338.12</v>
      </c>
      <c r="M56" s="119"/>
      <c r="N56" s="252"/>
      <c r="O56" s="268">
        <f t="shared" si="1"/>
        <v>-4289.75</v>
      </c>
      <c r="P56" s="252" t="s">
        <v>601</v>
      </c>
      <c r="Q56" s="252" t="s">
        <v>643</v>
      </c>
      <c r="R56" s="256">
        <f t="shared" si="3"/>
        <v>4.8397500000000004</v>
      </c>
    </row>
    <row r="57" spans="1:18" ht="15" customHeight="1">
      <c r="A57" s="246" t="s">
        <v>572</v>
      </c>
      <c r="B57" s="247">
        <v>6000386</v>
      </c>
      <c r="C57" s="153">
        <v>5715001</v>
      </c>
      <c r="D57" s="252" t="s">
        <v>644</v>
      </c>
      <c r="E57" s="153"/>
      <c r="F57" s="160">
        <v>550</v>
      </c>
      <c r="G57" s="119">
        <v>550</v>
      </c>
      <c r="H57" s="250">
        <f t="shared" si="0"/>
        <v>4737.21</v>
      </c>
      <c r="I57" s="119">
        <v>2877.52</v>
      </c>
      <c r="J57" s="119">
        <v>1166.8499999999999</v>
      </c>
      <c r="K57" s="119">
        <v>354.72</v>
      </c>
      <c r="L57" s="119">
        <v>338.12</v>
      </c>
      <c r="M57" s="119"/>
      <c r="N57" s="252"/>
      <c r="O57" s="268">
        <f t="shared" si="1"/>
        <v>-4187.21</v>
      </c>
      <c r="P57" s="252" t="s">
        <v>601</v>
      </c>
      <c r="Q57" s="252" t="s">
        <v>645</v>
      </c>
      <c r="R57" s="256">
        <f t="shared" si="3"/>
        <v>4.7372100000000001</v>
      </c>
    </row>
    <row r="58" spans="1:18" ht="15" customHeight="1">
      <c r="A58" s="246" t="s">
        <v>572</v>
      </c>
      <c r="B58" s="247">
        <v>6000386</v>
      </c>
      <c r="C58" s="153">
        <v>4154003</v>
      </c>
      <c r="D58" s="252" t="s">
        <v>646</v>
      </c>
      <c r="E58" s="153"/>
      <c r="F58" s="160">
        <v>550</v>
      </c>
      <c r="G58" s="119">
        <v>550</v>
      </c>
      <c r="H58" s="250">
        <f t="shared" si="0"/>
        <v>4771.3899999999994</v>
      </c>
      <c r="I58" s="119">
        <v>2911.7</v>
      </c>
      <c r="J58" s="119">
        <v>1166.8499999999999</v>
      </c>
      <c r="K58" s="119">
        <v>354.72</v>
      </c>
      <c r="L58" s="119">
        <v>338.12</v>
      </c>
      <c r="M58" s="119"/>
      <c r="N58" s="252"/>
      <c r="O58" s="268">
        <f t="shared" si="1"/>
        <v>-4221.3899999999994</v>
      </c>
      <c r="P58" s="252" t="s">
        <v>601</v>
      </c>
      <c r="Q58" s="252" t="s">
        <v>647</v>
      </c>
      <c r="R58" s="256">
        <f t="shared" si="3"/>
        <v>4.7713899999999994</v>
      </c>
    </row>
    <row r="59" spans="1:18" ht="15" customHeight="1">
      <c r="A59" s="246" t="s">
        <v>572</v>
      </c>
      <c r="B59" s="247">
        <v>6000386</v>
      </c>
      <c r="C59" s="153">
        <v>464003</v>
      </c>
      <c r="D59" s="252" t="s">
        <v>648</v>
      </c>
      <c r="E59" s="153"/>
      <c r="F59" s="160">
        <v>550</v>
      </c>
      <c r="G59" s="119">
        <v>550</v>
      </c>
      <c r="H59" s="250">
        <f t="shared" si="0"/>
        <v>4771.3899999999994</v>
      </c>
      <c r="I59" s="119">
        <v>2911.7</v>
      </c>
      <c r="J59" s="119">
        <v>1166.8499999999999</v>
      </c>
      <c r="K59" s="119">
        <v>354.72</v>
      </c>
      <c r="L59" s="119">
        <v>338.12</v>
      </c>
      <c r="M59" s="119"/>
      <c r="N59" s="252"/>
      <c r="O59" s="268">
        <f t="shared" si="1"/>
        <v>-4221.3899999999994</v>
      </c>
      <c r="P59" s="252" t="s">
        <v>601</v>
      </c>
      <c r="Q59" s="252" t="s">
        <v>649</v>
      </c>
      <c r="R59" s="256">
        <f t="shared" si="3"/>
        <v>4.7713899999999994</v>
      </c>
    </row>
    <row r="60" spans="1:18" ht="15" customHeight="1">
      <c r="A60" s="246" t="s">
        <v>572</v>
      </c>
      <c r="B60" s="247">
        <v>6000386</v>
      </c>
      <c r="C60" s="153">
        <v>2285005</v>
      </c>
      <c r="D60" s="252" t="s">
        <v>650</v>
      </c>
      <c r="E60" s="153"/>
      <c r="F60" s="160">
        <v>550</v>
      </c>
      <c r="G60" s="119">
        <v>550</v>
      </c>
      <c r="H60" s="250">
        <f t="shared" si="0"/>
        <v>4737.21</v>
      </c>
      <c r="I60" s="119">
        <v>2877.52</v>
      </c>
      <c r="J60" s="119">
        <v>1166.8499999999999</v>
      </c>
      <c r="K60" s="119">
        <v>354.72</v>
      </c>
      <c r="L60" s="119">
        <v>338.12</v>
      </c>
      <c r="M60" s="119"/>
      <c r="N60" s="252"/>
      <c r="O60" s="268">
        <f t="shared" si="1"/>
        <v>-4187.21</v>
      </c>
      <c r="P60" s="252" t="s">
        <v>601</v>
      </c>
      <c r="Q60" s="252" t="s">
        <v>651</v>
      </c>
      <c r="R60" s="256">
        <f t="shared" si="3"/>
        <v>4.7372100000000001</v>
      </c>
    </row>
    <row r="61" spans="1:18" ht="15" customHeight="1">
      <c r="A61" s="246" t="s">
        <v>572</v>
      </c>
      <c r="B61" s="247">
        <v>6000386</v>
      </c>
      <c r="C61" s="153">
        <v>2425002</v>
      </c>
      <c r="D61" s="252" t="s">
        <v>652</v>
      </c>
      <c r="E61" s="153"/>
      <c r="F61" s="160">
        <v>550</v>
      </c>
      <c r="G61" s="119">
        <v>550</v>
      </c>
      <c r="H61" s="250">
        <f t="shared" si="0"/>
        <v>4771.3899999999994</v>
      </c>
      <c r="I61" s="119">
        <v>2911.7</v>
      </c>
      <c r="J61" s="119">
        <v>1166.8499999999999</v>
      </c>
      <c r="K61" s="119">
        <v>354.72</v>
      </c>
      <c r="L61" s="119">
        <v>338.12</v>
      </c>
      <c r="M61" s="119"/>
      <c r="N61" s="252"/>
      <c r="O61" s="268">
        <f t="shared" si="1"/>
        <v>-4221.3899999999994</v>
      </c>
      <c r="P61" s="252" t="s">
        <v>601</v>
      </c>
      <c r="Q61" s="252" t="s">
        <v>653</v>
      </c>
      <c r="R61" s="256">
        <f t="shared" si="3"/>
        <v>4.7713899999999994</v>
      </c>
    </row>
    <row r="62" spans="1:18" ht="15" customHeight="1">
      <c r="A62" s="246" t="s">
        <v>572</v>
      </c>
      <c r="B62" s="247">
        <v>6000386</v>
      </c>
      <c r="C62" s="153">
        <v>2704002</v>
      </c>
      <c r="D62" s="252" t="s">
        <v>654</v>
      </c>
      <c r="E62" s="153"/>
      <c r="F62" s="160">
        <v>550</v>
      </c>
      <c r="G62" s="119">
        <v>550</v>
      </c>
      <c r="H62" s="250">
        <f t="shared" si="0"/>
        <v>4839.75</v>
      </c>
      <c r="I62" s="119">
        <v>2980.06</v>
      </c>
      <c r="J62" s="119">
        <v>1166.8499999999999</v>
      </c>
      <c r="K62" s="119">
        <v>354.72</v>
      </c>
      <c r="L62" s="119">
        <v>338.12</v>
      </c>
      <c r="M62" s="119"/>
      <c r="N62" s="252"/>
      <c r="O62" s="268">
        <f t="shared" si="1"/>
        <v>-4289.75</v>
      </c>
      <c r="P62" s="252" t="s">
        <v>601</v>
      </c>
      <c r="Q62" s="252" t="s">
        <v>655</v>
      </c>
      <c r="R62" s="256">
        <f t="shared" si="3"/>
        <v>4.8397500000000004</v>
      </c>
    </row>
    <row r="63" spans="1:18" ht="15" customHeight="1">
      <c r="A63" s="246" t="s">
        <v>572</v>
      </c>
      <c r="B63" s="247">
        <v>6000386</v>
      </c>
      <c r="C63" s="153">
        <v>5623001</v>
      </c>
      <c r="D63" s="252" t="s">
        <v>656</v>
      </c>
      <c r="E63" s="153"/>
      <c r="F63" s="160">
        <v>550</v>
      </c>
      <c r="G63" s="119">
        <v>550</v>
      </c>
      <c r="H63" s="250">
        <f t="shared" si="0"/>
        <v>4839.75</v>
      </c>
      <c r="I63" s="119">
        <v>2980.06</v>
      </c>
      <c r="J63" s="119">
        <v>1166.8499999999999</v>
      </c>
      <c r="K63" s="119">
        <v>354.72</v>
      </c>
      <c r="L63" s="119">
        <v>338.12</v>
      </c>
      <c r="M63" s="119"/>
      <c r="N63" s="252"/>
      <c r="O63" s="268">
        <f t="shared" si="1"/>
        <v>-4289.75</v>
      </c>
      <c r="P63" s="252" t="s">
        <v>601</v>
      </c>
      <c r="Q63" s="252" t="s">
        <v>657</v>
      </c>
      <c r="R63" s="256">
        <f t="shared" si="3"/>
        <v>4.8397500000000004</v>
      </c>
    </row>
    <row r="64" spans="1:18" ht="15" customHeight="1">
      <c r="A64" s="246" t="s">
        <v>572</v>
      </c>
      <c r="B64" s="247">
        <v>6000386</v>
      </c>
      <c r="C64" s="153">
        <v>5624001</v>
      </c>
      <c r="D64" s="252" t="s">
        <v>658</v>
      </c>
      <c r="E64" s="153"/>
      <c r="F64" s="160">
        <v>550</v>
      </c>
      <c r="G64" s="119">
        <v>550</v>
      </c>
      <c r="H64" s="250">
        <f t="shared" si="0"/>
        <v>4771.3899999999994</v>
      </c>
      <c r="I64" s="119">
        <v>2911.7</v>
      </c>
      <c r="J64" s="119">
        <v>1166.8499999999999</v>
      </c>
      <c r="K64" s="119">
        <v>354.72</v>
      </c>
      <c r="L64" s="119">
        <v>338.12</v>
      </c>
      <c r="M64" s="119"/>
      <c r="N64" s="252"/>
      <c r="O64" s="268">
        <f t="shared" si="1"/>
        <v>-4221.3899999999994</v>
      </c>
      <c r="P64" s="252" t="s">
        <v>601</v>
      </c>
      <c r="Q64" s="252" t="s">
        <v>659</v>
      </c>
      <c r="R64" s="256">
        <f t="shared" si="3"/>
        <v>4.7713899999999994</v>
      </c>
    </row>
    <row r="65" spans="1:18" ht="15" customHeight="1">
      <c r="A65" s="246" t="s">
        <v>572</v>
      </c>
      <c r="B65" s="247">
        <v>6000386</v>
      </c>
      <c r="C65" s="153">
        <v>5626002</v>
      </c>
      <c r="D65" s="252" t="s">
        <v>660</v>
      </c>
      <c r="E65" s="153"/>
      <c r="F65" s="160">
        <v>550</v>
      </c>
      <c r="G65" s="119">
        <v>550</v>
      </c>
      <c r="H65" s="250">
        <f t="shared" si="0"/>
        <v>4839.75</v>
      </c>
      <c r="I65" s="119">
        <v>2980.06</v>
      </c>
      <c r="J65" s="119">
        <v>1166.8499999999999</v>
      </c>
      <c r="K65" s="119">
        <v>354.72</v>
      </c>
      <c r="L65" s="119">
        <v>338.12</v>
      </c>
      <c r="M65" s="119"/>
      <c r="N65" s="252"/>
      <c r="O65" s="268">
        <f t="shared" si="1"/>
        <v>-4289.75</v>
      </c>
      <c r="P65" s="252" t="s">
        <v>601</v>
      </c>
      <c r="Q65" s="252" t="s">
        <v>661</v>
      </c>
      <c r="R65" s="256">
        <f t="shared" si="3"/>
        <v>4.8397500000000004</v>
      </c>
    </row>
    <row r="66" spans="1:18" ht="15" customHeight="1">
      <c r="A66" s="246" t="s">
        <v>572</v>
      </c>
      <c r="B66" s="247">
        <v>6000386</v>
      </c>
      <c r="C66" s="153">
        <v>5634001</v>
      </c>
      <c r="D66" s="252" t="s">
        <v>662</v>
      </c>
      <c r="E66" s="153"/>
      <c r="F66" s="160">
        <v>550</v>
      </c>
      <c r="G66" s="119">
        <v>550</v>
      </c>
      <c r="H66" s="250">
        <f t="shared" si="0"/>
        <v>4771.3899999999994</v>
      </c>
      <c r="I66" s="119">
        <v>2911.7</v>
      </c>
      <c r="J66" s="119">
        <v>1166.8499999999999</v>
      </c>
      <c r="K66" s="119">
        <v>354.72</v>
      </c>
      <c r="L66" s="119">
        <v>338.12</v>
      </c>
      <c r="M66" s="119"/>
      <c r="N66" s="252"/>
      <c r="O66" s="268">
        <f t="shared" si="1"/>
        <v>-4221.3899999999994</v>
      </c>
      <c r="P66" s="252" t="s">
        <v>601</v>
      </c>
      <c r="Q66" s="252" t="s">
        <v>663</v>
      </c>
      <c r="R66" s="256">
        <f t="shared" si="3"/>
        <v>4.7713899999999994</v>
      </c>
    </row>
    <row r="67" spans="1:18" ht="15" customHeight="1">
      <c r="A67" s="246" t="s">
        <v>572</v>
      </c>
      <c r="B67" s="247">
        <v>6000386</v>
      </c>
      <c r="C67" s="153">
        <v>5630001</v>
      </c>
      <c r="D67" s="252" t="s">
        <v>664</v>
      </c>
      <c r="E67" s="153"/>
      <c r="F67" s="160">
        <v>550</v>
      </c>
      <c r="G67" s="119">
        <v>550</v>
      </c>
      <c r="H67" s="250">
        <f t="shared" si="0"/>
        <v>4771.3899999999994</v>
      </c>
      <c r="I67" s="119">
        <v>2911.7</v>
      </c>
      <c r="J67" s="119">
        <v>1166.8499999999999</v>
      </c>
      <c r="K67" s="119">
        <v>354.72</v>
      </c>
      <c r="L67" s="119">
        <v>338.12</v>
      </c>
      <c r="M67" s="119"/>
      <c r="N67" s="252"/>
      <c r="O67" s="268">
        <f t="shared" si="1"/>
        <v>-4221.3899999999994</v>
      </c>
      <c r="P67" s="252" t="s">
        <v>601</v>
      </c>
      <c r="Q67" s="252" t="s">
        <v>665</v>
      </c>
      <c r="R67" s="256">
        <f t="shared" si="3"/>
        <v>4.7713899999999994</v>
      </c>
    </row>
    <row r="68" spans="1:18" ht="15" customHeight="1">
      <c r="A68" s="246" t="s">
        <v>572</v>
      </c>
      <c r="B68" s="247">
        <v>6000386</v>
      </c>
      <c r="C68" s="153">
        <v>5631001</v>
      </c>
      <c r="D68" s="252" t="s">
        <v>666</v>
      </c>
      <c r="E68" s="153"/>
      <c r="F68" s="160">
        <v>550</v>
      </c>
      <c r="G68" s="119">
        <v>550</v>
      </c>
      <c r="H68" s="250">
        <f t="shared" si="0"/>
        <v>4771.3899999999994</v>
      </c>
      <c r="I68" s="119">
        <v>2911.7</v>
      </c>
      <c r="J68" s="119">
        <v>1166.8499999999999</v>
      </c>
      <c r="K68" s="119">
        <v>354.72</v>
      </c>
      <c r="L68" s="119">
        <v>338.12</v>
      </c>
      <c r="M68" s="119"/>
      <c r="N68" s="252"/>
      <c r="O68" s="268">
        <f t="shared" si="1"/>
        <v>-4221.3899999999994</v>
      </c>
      <c r="P68" s="252" t="s">
        <v>601</v>
      </c>
      <c r="Q68" s="252" t="s">
        <v>667</v>
      </c>
      <c r="R68" s="256">
        <f t="shared" si="3"/>
        <v>4.7713899999999994</v>
      </c>
    </row>
    <row r="69" spans="1:18" ht="15" customHeight="1">
      <c r="A69" s="246" t="s">
        <v>572</v>
      </c>
      <c r="B69" s="247">
        <v>6000386</v>
      </c>
      <c r="C69" s="153">
        <v>5633001</v>
      </c>
      <c r="D69" s="252" t="s">
        <v>668</v>
      </c>
      <c r="E69" s="153"/>
      <c r="F69" s="160">
        <v>550</v>
      </c>
      <c r="G69" s="119">
        <v>550</v>
      </c>
      <c r="H69" s="250">
        <f t="shared" ref="H69:H133" si="4">SUM(I69:M69)</f>
        <v>4839.75</v>
      </c>
      <c r="I69" s="119">
        <v>2980.06</v>
      </c>
      <c r="J69" s="119">
        <v>1166.8499999999999</v>
      </c>
      <c r="K69" s="119">
        <v>354.72</v>
      </c>
      <c r="L69" s="119">
        <v>338.12</v>
      </c>
      <c r="M69" s="119"/>
      <c r="N69" s="252"/>
      <c r="O69" s="268">
        <f t="shared" si="1"/>
        <v>-4289.75</v>
      </c>
      <c r="P69" s="252" t="s">
        <v>601</v>
      </c>
      <c r="Q69" s="252" t="s">
        <v>669</v>
      </c>
      <c r="R69" s="256">
        <f t="shared" si="3"/>
        <v>4.8397500000000004</v>
      </c>
    </row>
    <row r="70" spans="1:18" ht="15" customHeight="1">
      <c r="A70" s="246" t="s">
        <v>572</v>
      </c>
      <c r="B70" s="247">
        <v>6000386</v>
      </c>
      <c r="C70" s="153">
        <v>5635001</v>
      </c>
      <c r="D70" s="252" t="s">
        <v>670</v>
      </c>
      <c r="E70" s="153"/>
      <c r="F70" s="160">
        <v>550</v>
      </c>
      <c r="G70" s="119">
        <v>550</v>
      </c>
      <c r="H70" s="250">
        <f t="shared" si="4"/>
        <v>4771.3899999999994</v>
      </c>
      <c r="I70" s="119">
        <v>2911.7</v>
      </c>
      <c r="J70" s="119">
        <v>1166.8499999999999</v>
      </c>
      <c r="K70" s="119">
        <v>354.72</v>
      </c>
      <c r="L70" s="119">
        <v>338.12</v>
      </c>
      <c r="M70" s="119"/>
      <c r="N70" s="252"/>
      <c r="O70" s="268">
        <f t="shared" ref="O70:O133" si="5">G70-H70</f>
        <v>-4221.3899999999994</v>
      </c>
      <c r="P70" s="252" t="s">
        <v>601</v>
      </c>
      <c r="Q70" s="252" t="s">
        <v>671</v>
      </c>
      <c r="R70" s="256">
        <f t="shared" si="3"/>
        <v>4.7713899999999994</v>
      </c>
    </row>
    <row r="71" spans="1:18" ht="15" customHeight="1">
      <c r="A71" s="246" t="s">
        <v>572</v>
      </c>
      <c r="B71" s="247">
        <v>6000386</v>
      </c>
      <c r="C71" s="153">
        <v>5636001</v>
      </c>
      <c r="D71" s="252" t="s">
        <v>672</v>
      </c>
      <c r="E71" s="153"/>
      <c r="F71" s="160">
        <v>550</v>
      </c>
      <c r="G71" s="119">
        <v>550</v>
      </c>
      <c r="H71" s="250">
        <f t="shared" si="4"/>
        <v>4771.3899999999994</v>
      </c>
      <c r="I71" s="119">
        <v>2911.7</v>
      </c>
      <c r="J71" s="119">
        <v>1166.8499999999999</v>
      </c>
      <c r="K71" s="119">
        <v>354.72</v>
      </c>
      <c r="L71" s="119">
        <v>338.12</v>
      </c>
      <c r="M71" s="119"/>
      <c r="N71" s="252"/>
      <c r="O71" s="268">
        <f t="shared" si="5"/>
        <v>-4221.3899999999994</v>
      </c>
      <c r="P71" s="252" t="s">
        <v>601</v>
      </c>
      <c r="Q71" s="252" t="s">
        <v>673</v>
      </c>
      <c r="R71" s="256">
        <f t="shared" si="3"/>
        <v>4.7713899999999994</v>
      </c>
    </row>
    <row r="72" spans="1:18" ht="15" customHeight="1">
      <c r="A72" s="246" t="s">
        <v>572</v>
      </c>
      <c r="B72" s="247">
        <v>6000386</v>
      </c>
      <c r="C72" s="153">
        <v>5637001</v>
      </c>
      <c r="D72" s="252" t="s">
        <v>674</v>
      </c>
      <c r="E72" s="153"/>
      <c r="F72" s="160">
        <v>550</v>
      </c>
      <c r="G72" s="119">
        <v>550</v>
      </c>
      <c r="H72" s="250">
        <f t="shared" si="4"/>
        <v>4771.3899999999994</v>
      </c>
      <c r="I72" s="119">
        <v>2911.7</v>
      </c>
      <c r="J72" s="119">
        <v>1166.8499999999999</v>
      </c>
      <c r="K72" s="119">
        <v>354.72</v>
      </c>
      <c r="L72" s="119">
        <v>338.12</v>
      </c>
      <c r="M72" s="119"/>
      <c r="N72" s="252"/>
      <c r="O72" s="268">
        <f t="shared" si="5"/>
        <v>-4221.3899999999994</v>
      </c>
      <c r="P72" s="252" t="s">
        <v>601</v>
      </c>
      <c r="Q72" s="252" t="s">
        <v>675</v>
      </c>
      <c r="R72" s="256">
        <f t="shared" si="3"/>
        <v>4.7713899999999994</v>
      </c>
    </row>
    <row r="73" spans="1:18" ht="15" customHeight="1">
      <c r="A73" s="246" t="s">
        <v>572</v>
      </c>
      <c r="B73" s="247">
        <v>6000386</v>
      </c>
      <c r="C73" s="153">
        <v>5638001</v>
      </c>
      <c r="D73" s="252" t="s">
        <v>676</v>
      </c>
      <c r="E73" s="153"/>
      <c r="F73" s="160">
        <v>550</v>
      </c>
      <c r="G73" s="119">
        <v>550</v>
      </c>
      <c r="H73" s="250">
        <f t="shared" si="4"/>
        <v>4771.3899999999994</v>
      </c>
      <c r="I73" s="119">
        <v>2911.7</v>
      </c>
      <c r="J73" s="119">
        <v>1166.8499999999999</v>
      </c>
      <c r="K73" s="119">
        <v>354.72</v>
      </c>
      <c r="L73" s="119">
        <v>338.12</v>
      </c>
      <c r="M73" s="119"/>
      <c r="N73" s="252"/>
      <c r="O73" s="268">
        <f t="shared" si="5"/>
        <v>-4221.3899999999994</v>
      </c>
      <c r="P73" s="252" t="s">
        <v>601</v>
      </c>
      <c r="Q73" s="252" t="s">
        <v>677</v>
      </c>
      <c r="R73" s="256">
        <f t="shared" si="3"/>
        <v>4.7713899999999994</v>
      </c>
    </row>
    <row r="74" spans="1:18" ht="15" customHeight="1">
      <c r="A74" s="246" t="s">
        <v>572</v>
      </c>
      <c r="B74" s="247">
        <v>6000386</v>
      </c>
      <c r="C74" s="153">
        <v>5639001</v>
      </c>
      <c r="D74" s="252" t="s">
        <v>678</v>
      </c>
      <c r="E74" s="153"/>
      <c r="F74" s="160">
        <v>550</v>
      </c>
      <c r="G74" s="119">
        <v>550</v>
      </c>
      <c r="H74" s="250">
        <f t="shared" si="4"/>
        <v>4839.75</v>
      </c>
      <c r="I74" s="119">
        <v>2980.06</v>
      </c>
      <c r="J74" s="119">
        <v>1166.8499999999999</v>
      </c>
      <c r="K74" s="119">
        <v>354.72</v>
      </c>
      <c r="L74" s="119">
        <v>338.12</v>
      </c>
      <c r="M74" s="119"/>
      <c r="N74" s="252"/>
      <c r="O74" s="268">
        <f t="shared" si="5"/>
        <v>-4289.75</v>
      </c>
      <c r="P74" s="252" t="s">
        <v>601</v>
      </c>
      <c r="Q74" s="252" t="s">
        <v>679</v>
      </c>
      <c r="R74" s="256">
        <f t="shared" si="3"/>
        <v>4.8397500000000004</v>
      </c>
    </row>
    <row r="75" spans="1:18" ht="15" customHeight="1">
      <c r="A75" s="246" t="s">
        <v>572</v>
      </c>
      <c r="B75" s="247">
        <v>6000386</v>
      </c>
      <c r="C75" s="153">
        <v>5640001</v>
      </c>
      <c r="D75" s="252" t="s">
        <v>680</v>
      </c>
      <c r="E75" s="153"/>
      <c r="F75" s="160">
        <v>550</v>
      </c>
      <c r="G75" s="119">
        <v>550</v>
      </c>
      <c r="H75" s="250">
        <f t="shared" si="4"/>
        <v>4737.21</v>
      </c>
      <c r="I75" s="119">
        <v>2877.52</v>
      </c>
      <c r="J75" s="119">
        <v>1166.8499999999999</v>
      </c>
      <c r="K75" s="119">
        <v>354.72</v>
      </c>
      <c r="L75" s="119">
        <v>338.12</v>
      </c>
      <c r="M75" s="119"/>
      <c r="N75" s="252"/>
      <c r="O75" s="268">
        <f t="shared" si="5"/>
        <v>-4187.21</v>
      </c>
      <c r="P75" s="252" t="s">
        <v>601</v>
      </c>
      <c r="Q75" s="252" t="s">
        <v>681</v>
      </c>
      <c r="R75" s="256">
        <f t="shared" si="3"/>
        <v>4.7372100000000001</v>
      </c>
    </row>
    <row r="76" spans="1:18" ht="15" customHeight="1">
      <c r="A76" s="246" t="s">
        <v>572</v>
      </c>
      <c r="B76" s="247">
        <v>6000386</v>
      </c>
      <c r="C76" s="153">
        <v>5641001</v>
      </c>
      <c r="D76" s="252" t="s">
        <v>682</v>
      </c>
      <c r="E76" s="153"/>
      <c r="F76" s="160">
        <v>550</v>
      </c>
      <c r="G76" s="119">
        <v>550</v>
      </c>
      <c r="H76" s="250">
        <f t="shared" si="4"/>
        <v>4737.21</v>
      </c>
      <c r="I76" s="119">
        <v>2877.52</v>
      </c>
      <c r="J76" s="119">
        <v>1166.8499999999999</v>
      </c>
      <c r="K76" s="119">
        <v>354.72</v>
      </c>
      <c r="L76" s="119">
        <v>338.12</v>
      </c>
      <c r="M76" s="119"/>
      <c r="N76" s="252"/>
      <c r="O76" s="268">
        <f t="shared" si="5"/>
        <v>-4187.21</v>
      </c>
      <c r="P76" s="252" t="s">
        <v>601</v>
      </c>
      <c r="Q76" s="252" t="s">
        <v>683</v>
      </c>
      <c r="R76" s="256">
        <f t="shared" ref="R76:R83" si="6">H76/1000</f>
        <v>4.7372100000000001</v>
      </c>
    </row>
    <row r="77" spans="1:18" ht="15" customHeight="1">
      <c r="A77" s="246" t="s">
        <v>572</v>
      </c>
      <c r="B77" s="247">
        <v>6000386</v>
      </c>
      <c r="C77" s="153">
        <v>5642001</v>
      </c>
      <c r="D77" s="252" t="s">
        <v>684</v>
      </c>
      <c r="E77" s="153"/>
      <c r="F77" s="160">
        <v>550</v>
      </c>
      <c r="G77" s="119">
        <v>550</v>
      </c>
      <c r="H77" s="250">
        <f t="shared" si="4"/>
        <v>4771.3899999999994</v>
      </c>
      <c r="I77" s="119">
        <v>2911.7</v>
      </c>
      <c r="J77" s="119">
        <v>1166.8499999999999</v>
      </c>
      <c r="K77" s="119">
        <v>354.72</v>
      </c>
      <c r="L77" s="119">
        <v>338.12</v>
      </c>
      <c r="M77" s="119"/>
      <c r="N77" s="252"/>
      <c r="O77" s="268">
        <f t="shared" si="5"/>
        <v>-4221.3899999999994</v>
      </c>
      <c r="P77" s="252" t="s">
        <v>601</v>
      </c>
      <c r="Q77" s="252" t="s">
        <v>685</v>
      </c>
      <c r="R77" s="256">
        <f t="shared" si="6"/>
        <v>4.7713899999999994</v>
      </c>
    </row>
    <row r="78" spans="1:18" ht="15" customHeight="1">
      <c r="A78" s="246" t="s">
        <v>572</v>
      </c>
      <c r="B78" s="247">
        <v>6000386</v>
      </c>
      <c r="C78" s="153">
        <v>5643001</v>
      </c>
      <c r="D78" s="252" t="s">
        <v>686</v>
      </c>
      <c r="E78" s="153"/>
      <c r="F78" s="160">
        <v>550</v>
      </c>
      <c r="G78" s="119">
        <v>550</v>
      </c>
      <c r="H78" s="250">
        <f t="shared" si="4"/>
        <v>4771.3899999999994</v>
      </c>
      <c r="I78" s="119">
        <v>2911.7</v>
      </c>
      <c r="J78" s="119">
        <v>1166.8499999999999</v>
      </c>
      <c r="K78" s="119">
        <v>354.72</v>
      </c>
      <c r="L78" s="119">
        <v>338.12</v>
      </c>
      <c r="M78" s="119"/>
      <c r="N78" s="252"/>
      <c r="O78" s="268">
        <f t="shared" si="5"/>
        <v>-4221.3899999999994</v>
      </c>
      <c r="P78" s="252" t="s">
        <v>601</v>
      </c>
      <c r="Q78" s="252" t="s">
        <v>687</v>
      </c>
      <c r="R78" s="256">
        <f t="shared" si="6"/>
        <v>4.7713899999999994</v>
      </c>
    </row>
    <row r="79" spans="1:18" ht="15" customHeight="1">
      <c r="A79" s="246" t="s">
        <v>572</v>
      </c>
      <c r="B79" s="247">
        <v>6000386</v>
      </c>
      <c r="C79" s="153">
        <v>5648001</v>
      </c>
      <c r="D79" s="252" t="s">
        <v>688</v>
      </c>
      <c r="E79" s="153"/>
      <c r="F79" s="160">
        <v>550</v>
      </c>
      <c r="G79" s="119">
        <v>550</v>
      </c>
      <c r="H79" s="250">
        <f t="shared" si="4"/>
        <v>4737.21</v>
      </c>
      <c r="I79" s="119">
        <v>2877.52</v>
      </c>
      <c r="J79" s="119">
        <v>1166.8499999999999</v>
      </c>
      <c r="K79" s="119">
        <v>354.72</v>
      </c>
      <c r="L79" s="119">
        <v>338.12</v>
      </c>
      <c r="M79" s="119"/>
      <c r="N79" s="252"/>
      <c r="O79" s="268">
        <f t="shared" si="5"/>
        <v>-4187.21</v>
      </c>
      <c r="P79" s="252" t="s">
        <v>601</v>
      </c>
      <c r="Q79" s="252" t="s">
        <v>689</v>
      </c>
      <c r="R79" s="256">
        <f t="shared" si="6"/>
        <v>4.7372100000000001</v>
      </c>
    </row>
    <row r="80" spans="1:18" ht="15" customHeight="1">
      <c r="A80" s="246" t="s">
        <v>572</v>
      </c>
      <c r="B80" s="247">
        <v>6000386</v>
      </c>
      <c r="C80" s="153">
        <v>5649001</v>
      </c>
      <c r="D80" s="252" t="s">
        <v>690</v>
      </c>
      <c r="E80" s="153"/>
      <c r="F80" s="160">
        <v>550</v>
      </c>
      <c r="G80" s="119">
        <v>550</v>
      </c>
      <c r="H80" s="250">
        <f t="shared" si="4"/>
        <v>4737.21</v>
      </c>
      <c r="I80" s="119">
        <v>2877.52</v>
      </c>
      <c r="J80" s="119">
        <v>1166.8499999999999</v>
      </c>
      <c r="K80" s="119">
        <v>354.72</v>
      </c>
      <c r="L80" s="119">
        <v>338.12</v>
      </c>
      <c r="M80" s="119"/>
      <c r="N80" s="252"/>
      <c r="O80" s="268">
        <f t="shared" si="5"/>
        <v>-4187.21</v>
      </c>
      <c r="P80" s="252" t="s">
        <v>601</v>
      </c>
      <c r="Q80" s="252" t="s">
        <v>691</v>
      </c>
      <c r="R80" s="256">
        <f t="shared" si="6"/>
        <v>4.7372100000000001</v>
      </c>
    </row>
    <row r="81" spans="1:19" ht="15" customHeight="1">
      <c r="A81" s="246" t="s">
        <v>572</v>
      </c>
      <c r="B81" s="247">
        <v>6000386</v>
      </c>
      <c r="C81" s="153">
        <v>5651001</v>
      </c>
      <c r="D81" s="252" t="s">
        <v>692</v>
      </c>
      <c r="E81" s="153"/>
      <c r="F81" s="160">
        <v>550</v>
      </c>
      <c r="G81" s="119">
        <v>550</v>
      </c>
      <c r="H81" s="250">
        <f t="shared" si="4"/>
        <v>4839.75</v>
      </c>
      <c r="I81" s="119">
        <v>2980.06</v>
      </c>
      <c r="J81" s="119">
        <v>1166.8499999999999</v>
      </c>
      <c r="K81" s="119">
        <v>354.72</v>
      </c>
      <c r="L81" s="119">
        <v>338.12</v>
      </c>
      <c r="M81" s="119"/>
      <c r="N81" s="252"/>
      <c r="O81" s="268">
        <f t="shared" si="5"/>
        <v>-4289.75</v>
      </c>
      <c r="P81" s="252" t="s">
        <v>601</v>
      </c>
      <c r="Q81" s="252" t="s">
        <v>693</v>
      </c>
      <c r="R81" s="256">
        <f t="shared" si="6"/>
        <v>4.8397500000000004</v>
      </c>
    </row>
    <row r="82" spans="1:19" ht="15" customHeight="1">
      <c r="A82" s="246" t="s">
        <v>572</v>
      </c>
      <c r="B82" s="247">
        <v>6000386</v>
      </c>
      <c r="C82" s="153">
        <v>5652001</v>
      </c>
      <c r="D82" s="252" t="s">
        <v>694</v>
      </c>
      <c r="E82" s="153"/>
      <c r="F82" s="160">
        <v>550</v>
      </c>
      <c r="G82" s="119">
        <v>550</v>
      </c>
      <c r="H82" s="250">
        <f t="shared" si="4"/>
        <v>4737.21</v>
      </c>
      <c r="I82" s="119">
        <v>2877.52</v>
      </c>
      <c r="J82" s="119">
        <v>1166.8499999999999</v>
      </c>
      <c r="K82" s="119">
        <v>354.72</v>
      </c>
      <c r="L82" s="119">
        <v>338.12</v>
      </c>
      <c r="M82" s="119"/>
      <c r="N82" s="252"/>
      <c r="O82" s="268">
        <f t="shared" si="5"/>
        <v>-4187.21</v>
      </c>
      <c r="P82" s="252" t="s">
        <v>601</v>
      </c>
      <c r="Q82" s="252" t="s">
        <v>695</v>
      </c>
      <c r="R82" s="256">
        <f t="shared" si="6"/>
        <v>4.7372100000000001</v>
      </c>
    </row>
    <row r="83" spans="1:19" ht="15" customHeight="1">
      <c r="A83" s="246" t="s">
        <v>572</v>
      </c>
      <c r="B83" s="247">
        <v>6000386</v>
      </c>
      <c r="C83" s="153">
        <v>5653001</v>
      </c>
      <c r="D83" s="252" t="s">
        <v>696</v>
      </c>
      <c r="E83" s="153"/>
      <c r="F83" s="160">
        <v>550</v>
      </c>
      <c r="G83" s="119">
        <v>550</v>
      </c>
      <c r="H83" s="250">
        <f t="shared" si="4"/>
        <v>4737.21</v>
      </c>
      <c r="I83" s="119">
        <v>2877.52</v>
      </c>
      <c r="J83" s="119">
        <v>1166.8499999999999</v>
      </c>
      <c r="K83" s="119">
        <v>354.72</v>
      </c>
      <c r="L83" s="119">
        <v>338.12</v>
      </c>
      <c r="M83" s="119"/>
      <c r="N83" s="252"/>
      <c r="O83" s="268">
        <f t="shared" si="5"/>
        <v>-4187.21</v>
      </c>
      <c r="P83" s="252" t="s">
        <v>601</v>
      </c>
      <c r="Q83" s="252" t="s">
        <v>697</v>
      </c>
      <c r="R83" s="256">
        <f t="shared" si="6"/>
        <v>4.7372100000000001</v>
      </c>
    </row>
    <row r="84" spans="1:19" ht="15" customHeight="1">
      <c r="A84" s="246" t="s">
        <v>572</v>
      </c>
      <c r="B84" s="247">
        <v>6000386</v>
      </c>
      <c r="C84" s="153">
        <v>846138</v>
      </c>
      <c r="D84" s="252" t="s">
        <v>149</v>
      </c>
      <c r="E84" s="153"/>
      <c r="F84" s="119">
        <v>38420.870000000003</v>
      </c>
      <c r="G84" s="119">
        <v>0</v>
      </c>
      <c r="H84" s="250">
        <f t="shared" si="4"/>
        <v>5940.6900000000005</v>
      </c>
      <c r="I84" s="119">
        <v>4081</v>
      </c>
      <c r="J84" s="119">
        <v>1166.8499999999999</v>
      </c>
      <c r="K84" s="119">
        <v>354.72</v>
      </c>
      <c r="L84" s="119">
        <v>338.12</v>
      </c>
      <c r="M84" s="119"/>
      <c r="N84" s="252"/>
      <c r="O84" s="268">
        <f t="shared" si="5"/>
        <v>-5940.6900000000005</v>
      </c>
      <c r="P84" s="252" t="s">
        <v>579</v>
      </c>
      <c r="Q84" s="252" t="s">
        <v>698</v>
      </c>
      <c r="R84" s="158">
        <f>F84/1.2/1000</f>
        <v>32.017391666666668</v>
      </c>
      <c r="S84" s="158">
        <f>H84/1000</f>
        <v>5.9406900000000009</v>
      </c>
    </row>
    <row r="85" spans="1:19" ht="15" customHeight="1">
      <c r="A85" s="246" t="s">
        <v>572</v>
      </c>
      <c r="B85" s="247">
        <v>6000386</v>
      </c>
      <c r="C85" s="153">
        <v>3345005</v>
      </c>
      <c r="D85" s="252" t="s">
        <v>699</v>
      </c>
      <c r="E85" s="153"/>
      <c r="F85" s="119">
        <v>47103.519999999997</v>
      </c>
      <c r="G85" s="119">
        <v>47103.519999999997</v>
      </c>
      <c r="H85" s="250">
        <f t="shared" si="4"/>
        <v>11240.09</v>
      </c>
      <c r="I85" s="119">
        <v>7890.02</v>
      </c>
      <c r="J85" s="119">
        <f>1415.94+634.55</f>
        <v>2050.4899999999998</v>
      </c>
      <c r="K85" s="119">
        <f>430.45+192.9</f>
        <v>623.35</v>
      </c>
      <c r="L85" s="119">
        <v>676.23</v>
      </c>
      <c r="M85" s="119"/>
      <c r="N85" s="252"/>
      <c r="O85" s="268">
        <f t="shared" si="5"/>
        <v>35863.429999999993</v>
      </c>
      <c r="P85" s="252" t="s">
        <v>585</v>
      </c>
      <c r="Q85" s="252" t="s">
        <v>700</v>
      </c>
    </row>
    <row r="86" spans="1:19" ht="15" customHeight="1">
      <c r="A86" s="246" t="s">
        <v>572</v>
      </c>
      <c r="B86" s="247">
        <v>6000386</v>
      </c>
      <c r="C86" s="153">
        <v>3345004</v>
      </c>
      <c r="D86" s="252" t="s">
        <v>699</v>
      </c>
      <c r="E86" s="153"/>
      <c r="F86" s="119">
        <v>45947.45</v>
      </c>
      <c r="G86" s="119">
        <v>45947.45</v>
      </c>
      <c r="H86" s="250">
        <f t="shared" si="4"/>
        <v>13844.97</v>
      </c>
      <c r="I86" s="119">
        <v>10494.9</v>
      </c>
      <c r="J86" s="119">
        <v>2050.4899999999998</v>
      </c>
      <c r="K86" s="119">
        <v>623.35</v>
      </c>
      <c r="L86" s="119">
        <v>676.23</v>
      </c>
      <c r="M86" s="119"/>
      <c r="N86" s="252"/>
      <c r="O86" s="268">
        <f t="shared" si="5"/>
        <v>32102.479999999996</v>
      </c>
      <c r="P86" s="252" t="s">
        <v>701</v>
      </c>
      <c r="Q86" s="252" t="s">
        <v>702</v>
      </c>
    </row>
    <row r="87" spans="1:19" ht="15" customHeight="1">
      <c r="A87" s="246" t="s">
        <v>572</v>
      </c>
      <c r="B87" s="247">
        <v>6000386</v>
      </c>
      <c r="C87" s="153">
        <v>5654002</v>
      </c>
      <c r="D87" s="252" t="s">
        <v>323</v>
      </c>
      <c r="E87" s="153"/>
      <c r="F87" s="119">
        <v>60362.82</v>
      </c>
      <c r="G87" s="119">
        <v>27163.27</v>
      </c>
      <c r="H87" s="250">
        <f t="shared" si="4"/>
        <v>21262.52</v>
      </c>
      <c r="I87" s="119">
        <v>17173.900000000001</v>
      </c>
      <c r="J87" s="119">
        <f>1982.32+634.55</f>
        <v>2616.87</v>
      </c>
      <c r="K87" s="119">
        <f>602.62+192.9</f>
        <v>795.52</v>
      </c>
      <c r="L87" s="119">
        <v>676.23</v>
      </c>
      <c r="M87" s="119"/>
      <c r="N87" s="252"/>
      <c r="O87" s="268">
        <f t="shared" si="5"/>
        <v>5900.75</v>
      </c>
      <c r="P87" s="252" t="s">
        <v>573</v>
      </c>
      <c r="Q87" s="252" t="s">
        <v>703</v>
      </c>
    </row>
    <row r="88" spans="1:19" ht="15" customHeight="1">
      <c r="A88" s="246" t="s">
        <v>572</v>
      </c>
      <c r="B88" s="247">
        <v>6000386</v>
      </c>
      <c r="C88" s="153">
        <v>4282002</v>
      </c>
      <c r="D88" s="252" t="s">
        <v>321</v>
      </c>
      <c r="E88" s="153"/>
      <c r="F88" s="119">
        <v>60362.82</v>
      </c>
      <c r="G88" s="119">
        <v>54326.54</v>
      </c>
      <c r="H88" s="250">
        <f t="shared" si="4"/>
        <v>24986.06</v>
      </c>
      <c r="I88" s="119">
        <v>20158.88</v>
      </c>
      <c r="J88" s="119">
        <f>2548.7+634.55</f>
        <v>3183.25</v>
      </c>
      <c r="K88" s="119">
        <f>774.8+192.9</f>
        <v>967.69999999999993</v>
      </c>
      <c r="L88" s="119">
        <v>676.23</v>
      </c>
      <c r="M88" s="119"/>
      <c r="N88" s="252"/>
      <c r="O88" s="268">
        <f t="shared" si="5"/>
        <v>29340.48</v>
      </c>
      <c r="P88" s="252" t="s">
        <v>573</v>
      </c>
      <c r="Q88" s="252" t="s">
        <v>704</v>
      </c>
    </row>
    <row r="89" spans="1:19" ht="30">
      <c r="A89" s="246" t="s">
        <v>572</v>
      </c>
      <c r="B89" s="247">
        <v>6000386</v>
      </c>
      <c r="C89" s="153">
        <v>5695001</v>
      </c>
      <c r="D89" s="252" t="s">
        <v>705</v>
      </c>
      <c r="E89" s="153"/>
      <c r="F89" s="119">
        <v>550</v>
      </c>
      <c r="G89" s="119">
        <v>550</v>
      </c>
      <c r="H89" s="250">
        <f t="shared" si="4"/>
        <v>11637.63</v>
      </c>
      <c r="I89" s="119">
        <v>9446.0499999999993</v>
      </c>
      <c r="J89" s="119">
        <f>523.9+332.51</f>
        <v>856.41</v>
      </c>
      <c r="K89" s="119">
        <f>159.27+101.08</f>
        <v>260.35000000000002</v>
      </c>
      <c r="L89" s="119">
        <v>1074.82</v>
      </c>
      <c r="M89" s="119"/>
      <c r="N89" s="252"/>
      <c r="O89" s="268">
        <f t="shared" si="5"/>
        <v>-11087.63</v>
      </c>
      <c r="P89" s="252" t="s">
        <v>582</v>
      </c>
      <c r="Q89" s="252"/>
      <c r="R89" s="256">
        <f t="shared" ref="R89:R98" si="7">H89/1000</f>
        <v>11.63763</v>
      </c>
    </row>
    <row r="90" spans="1:19" ht="30">
      <c r="A90" s="246" t="s">
        <v>572</v>
      </c>
      <c r="B90" s="247">
        <v>6000386</v>
      </c>
      <c r="C90" s="153">
        <v>5764001</v>
      </c>
      <c r="D90" s="252" t="s">
        <v>706</v>
      </c>
      <c r="E90" s="153"/>
      <c r="F90" s="119">
        <v>550</v>
      </c>
      <c r="G90" s="119">
        <v>550</v>
      </c>
      <c r="H90" s="250">
        <f t="shared" si="4"/>
        <v>11637.63</v>
      </c>
      <c r="I90" s="119">
        <v>9446.0499999999993</v>
      </c>
      <c r="J90" s="119">
        <v>856.41</v>
      </c>
      <c r="K90" s="119">
        <v>260.35000000000002</v>
      </c>
      <c r="L90" s="119">
        <v>1074.82</v>
      </c>
      <c r="M90" s="119"/>
      <c r="N90" s="252"/>
      <c r="O90" s="268">
        <f t="shared" si="5"/>
        <v>-11087.63</v>
      </c>
      <c r="P90" s="252" t="s">
        <v>582</v>
      </c>
      <c r="Q90" s="252"/>
      <c r="R90" s="256">
        <f t="shared" si="7"/>
        <v>11.63763</v>
      </c>
    </row>
    <row r="91" spans="1:19" ht="30">
      <c r="A91" s="246" t="s">
        <v>572</v>
      </c>
      <c r="B91" s="247">
        <v>6000386</v>
      </c>
      <c r="C91" s="153">
        <v>5761001</v>
      </c>
      <c r="D91" s="252" t="s">
        <v>707</v>
      </c>
      <c r="E91" s="153"/>
      <c r="F91" s="119">
        <v>550</v>
      </c>
      <c r="G91" s="119">
        <v>550</v>
      </c>
      <c r="H91" s="250">
        <f t="shared" si="4"/>
        <v>11637.63</v>
      </c>
      <c r="I91" s="119">
        <v>9446.0499999999993</v>
      </c>
      <c r="J91" s="119">
        <v>856.41</v>
      </c>
      <c r="K91" s="119">
        <v>260.35000000000002</v>
      </c>
      <c r="L91" s="119">
        <v>1074.82</v>
      </c>
      <c r="M91" s="119"/>
      <c r="N91" s="252"/>
      <c r="O91" s="268">
        <f t="shared" si="5"/>
        <v>-11087.63</v>
      </c>
      <c r="P91" s="252" t="s">
        <v>582</v>
      </c>
      <c r="Q91" s="252"/>
      <c r="R91" s="256">
        <f t="shared" si="7"/>
        <v>11.63763</v>
      </c>
    </row>
    <row r="92" spans="1:19" ht="30">
      <c r="A92" s="246" t="s">
        <v>572</v>
      </c>
      <c r="B92" s="247">
        <v>6000386</v>
      </c>
      <c r="C92" s="153">
        <v>5728001</v>
      </c>
      <c r="D92" s="252" t="s">
        <v>708</v>
      </c>
      <c r="E92" s="153"/>
      <c r="F92" s="119">
        <v>550</v>
      </c>
      <c r="G92" s="119">
        <v>550</v>
      </c>
      <c r="H92" s="250">
        <f t="shared" si="4"/>
        <v>11637.63</v>
      </c>
      <c r="I92" s="119">
        <v>9446.0499999999993</v>
      </c>
      <c r="J92" s="119">
        <v>856.41</v>
      </c>
      <c r="K92" s="119">
        <v>260.35000000000002</v>
      </c>
      <c r="L92" s="119">
        <v>1074.82</v>
      </c>
      <c r="M92" s="119"/>
      <c r="N92" s="252"/>
      <c r="O92" s="268">
        <f t="shared" si="5"/>
        <v>-11087.63</v>
      </c>
      <c r="P92" s="252" t="s">
        <v>582</v>
      </c>
      <c r="Q92" s="252"/>
      <c r="R92" s="256">
        <f t="shared" si="7"/>
        <v>11.63763</v>
      </c>
    </row>
    <row r="93" spans="1:19" ht="30">
      <c r="A93" s="246" t="s">
        <v>572</v>
      </c>
      <c r="B93" s="247">
        <v>6000386</v>
      </c>
      <c r="C93" s="153">
        <v>5737001</v>
      </c>
      <c r="D93" s="252" t="s">
        <v>709</v>
      </c>
      <c r="E93" s="153"/>
      <c r="F93" s="119">
        <v>550</v>
      </c>
      <c r="G93" s="119">
        <v>550</v>
      </c>
      <c r="H93" s="250">
        <f t="shared" si="4"/>
        <v>11637.63</v>
      </c>
      <c r="I93" s="119">
        <v>9446.0499999999993</v>
      </c>
      <c r="J93" s="119">
        <v>856.41</v>
      </c>
      <c r="K93" s="119">
        <v>260.35000000000002</v>
      </c>
      <c r="L93" s="119">
        <v>1074.82</v>
      </c>
      <c r="M93" s="119"/>
      <c r="N93" s="252"/>
      <c r="O93" s="268">
        <f t="shared" si="5"/>
        <v>-11087.63</v>
      </c>
      <c r="P93" s="252" t="s">
        <v>582</v>
      </c>
      <c r="Q93" s="252"/>
      <c r="R93" s="256">
        <f t="shared" si="7"/>
        <v>11.63763</v>
      </c>
    </row>
    <row r="94" spans="1:19" ht="30">
      <c r="A94" s="246" t="s">
        <v>572</v>
      </c>
      <c r="B94" s="247">
        <v>6000386</v>
      </c>
      <c r="C94" s="153">
        <v>5727001</v>
      </c>
      <c r="D94" s="252" t="s">
        <v>710</v>
      </c>
      <c r="E94" s="153"/>
      <c r="F94" s="119">
        <v>550</v>
      </c>
      <c r="G94" s="119">
        <v>550</v>
      </c>
      <c r="H94" s="250">
        <f t="shared" si="4"/>
        <v>11637.63</v>
      </c>
      <c r="I94" s="119">
        <v>9446.0499999999993</v>
      </c>
      <c r="J94" s="119">
        <v>856.41</v>
      </c>
      <c r="K94" s="119">
        <v>260.35000000000002</v>
      </c>
      <c r="L94" s="119">
        <v>1074.82</v>
      </c>
      <c r="M94" s="119"/>
      <c r="N94" s="252"/>
      <c r="O94" s="268">
        <f t="shared" si="5"/>
        <v>-11087.63</v>
      </c>
      <c r="P94" s="252" t="s">
        <v>582</v>
      </c>
      <c r="Q94" s="252"/>
      <c r="R94" s="256">
        <f t="shared" si="7"/>
        <v>11.63763</v>
      </c>
    </row>
    <row r="95" spans="1:19" ht="30">
      <c r="A95" s="246" t="s">
        <v>572</v>
      </c>
      <c r="B95" s="247">
        <v>6000386</v>
      </c>
      <c r="C95" s="153">
        <v>5750001</v>
      </c>
      <c r="D95" s="252" t="s">
        <v>711</v>
      </c>
      <c r="E95" s="153"/>
      <c r="F95" s="119">
        <v>550</v>
      </c>
      <c r="G95" s="119">
        <v>550</v>
      </c>
      <c r="H95" s="250">
        <f t="shared" si="4"/>
        <v>11637.63</v>
      </c>
      <c r="I95" s="119">
        <v>9446.0499999999993</v>
      </c>
      <c r="J95" s="119">
        <v>856.41</v>
      </c>
      <c r="K95" s="119">
        <v>260.35000000000002</v>
      </c>
      <c r="L95" s="119">
        <v>1074.82</v>
      </c>
      <c r="M95" s="119"/>
      <c r="N95" s="252"/>
      <c r="O95" s="268">
        <f t="shared" si="5"/>
        <v>-11087.63</v>
      </c>
      <c r="P95" s="252" t="s">
        <v>582</v>
      </c>
      <c r="Q95" s="252"/>
      <c r="R95" s="256">
        <f t="shared" si="7"/>
        <v>11.63763</v>
      </c>
    </row>
    <row r="96" spans="1:19" ht="30">
      <c r="A96" s="246" t="s">
        <v>572</v>
      </c>
      <c r="B96" s="247">
        <v>6000386</v>
      </c>
      <c r="C96" s="153">
        <v>5685001</v>
      </c>
      <c r="D96" s="252" t="s">
        <v>390</v>
      </c>
      <c r="E96" s="153"/>
      <c r="F96" s="119">
        <v>550</v>
      </c>
      <c r="G96" s="119">
        <v>550</v>
      </c>
      <c r="H96" s="250">
        <f t="shared" si="4"/>
        <v>11637.63</v>
      </c>
      <c r="I96" s="119">
        <v>9446.0499999999993</v>
      </c>
      <c r="J96" s="119">
        <v>856.41</v>
      </c>
      <c r="K96" s="119">
        <v>260.35000000000002</v>
      </c>
      <c r="L96" s="119">
        <v>1074.82</v>
      </c>
      <c r="M96" s="119"/>
      <c r="N96" s="252"/>
      <c r="O96" s="268">
        <f t="shared" si="5"/>
        <v>-11087.63</v>
      </c>
      <c r="P96" s="252" t="s">
        <v>582</v>
      </c>
      <c r="Q96" s="252"/>
      <c r="R96" s="256">
        <f t="shared" si="7"/>
        <v>11.63763</v>
      </c>
    </row>
    <row r="97" spans="1:19" ht="30">
      <c r="A97" s="246" t="s">
        <v>572</v>
      </c>
      <c r="B97" s="247">
        <v>6000386</v>
      </c>
      <c r="C97" s="153">
        <v>5711001</v>
      </c>
      <c r="D97" s="252" t="s">
        <v>712</v>
      </c>
      <c r="E97" s="153"/>
      <c r="F97" s="119">
        <v>550</v>
      </c>
      <c r="G97" s="119">
        <v>550</v>
      </c>
      <c r="H97" s="250">
        <f t="shared" si="4"/>
        <v>11637.63</v>
      </c>
      <c r="I97" s="119">
        <v>9446.0499999999993</v>
      </c>
      <c r="J97" s="119">
        <v>856.41</v>
      </c>
      <c r="K97" s="119">
        <v>260.35000000000002</v>
      </c>
      <c r="L97" s="119">
        <v>1074.82</v>
      </c>
      <c r="M97" s="119"/>
      <c r="N97" s="252"/>
      <c r="O97" s="268">
        <f t="shared" si="5"/>
        <v>-11087.63</v>
      </c>
      <c r="P97" s="252" t="s">
        <v>582</v>
      </c>
      <c r="Q97" s="252"/>
      <c r="R97" s="256">
        <f t="shared" si="7"/>
        <v>11.63763</v>
      </c>
    </row>
    <row r="98" spans="1:19" ht="30">
      <c r="A98" s="246" t="s">
        <v>572</v>
      </c>
      <c r="B98" s="247">
        <v>6000386</v>
      </c>
      <c r="C98" s="153">
        <v>4083002</v>
      </c>
      <c r="D98" s="252" t="s">
        <v>713</v>
      </c>
      <c r="E98" s="153"/>
      <c r="F98" s="119">
        <v>550</v>
      </c>
      <c r="G98" s="119">
        <v>550</v>
      </c>
      <c r="H98" s="250">
        <f t="shared" si="4"/>
        <v>11637.63</v>
      </c>
      <c r="I98" s="119">
        <v>9446.0499999999993</v>
      </c>
      <c r="J98" s="119">
        <v>856.41</v>
      </c>
      <c r="K98" s="119">
        <v>260.35000000000002</v>
      </c>
      <c r="L98" s="119">
        <v>1074.82</v>
      </c>
      <c r="M98" s="119"/>
      <c r="N98" s="252"/>
      <c r="O98" s="268">
        <f t="shared" si="5"/>
        <v>-11087.63</v>
      </c>
      <c r="P98" s="252" t="s">
        <v>582</v>
      </c>
      <c r="Q98" s="252"/>
      <c r="R98" s="256">
        <f t="shared" si="7"/>
        <v>11.63763</v>
      </c>
    </row>
    <row r="99" spans="1:19" ht="32.25" customHeight="1">
      <c r="A99" s="246" t="s">
        <v>572</v>
      </c>
      <c r="B99" s="247">
        <v>6000386</v>
      </c>
      <c r="C99" s="153">
        <v>5616001</v>
      </c>
      <c r="D99" s="252" t="s">
        <v>714</v>
      </c>
      <c r="E99" s="153"/>
      <c r="F99" s="119">
        <v>17821.28</v>
      </c>
      <c r="G99" s="119">
        <v>8019.57</v>
      </c>
      <c r="H99" s="250">
        <f t="shared" si="4"/>
        <v>89401.030000000013</v>
      </c>
      <c r="I99" s="119">
        <f>44496.79+32499.97</f>
        <v>76996.760000000009</v>
      </c>
      <c r="J99" s="119">
        <f>4857.99+613.05+2265.51+634.55</f>
        <v>8371.1</v>
      </c>
      <c r="K99" s="119">
        <f>1476.83+186.37+688.71+192.9</f>
        <v>2544.81</v>
      </c>
      <c r="L99" s="119">
        <f>803.36+685</f>
        <v>1488.3600000000001</v>
      </c>
      <c r="M99" s="119"/>
      <c r="N99" s="252"/>
      <c r="O99" s="268">
        <f t="shared" si="5"/>
        <v>-81381.460000000021</v>
      </c>
      <c r="P99" s="252" t="s">
        <v>715</v>
      </c>
      <c r="Q99" s="252" t="s">
        <v>716</v>
      </c>
      <c r="R99" s="158">
        <f>F99/1.2/1000</f>
        <v>14.851066666666666</v>
      </c>
      <c r="S99" s="158">
        <f>H99/1000</f>
        <v>89.40103000000002</v>
      </c>
    </row>
    <row r="100" spans="1:19" ht="15" customHeight="1">
      <c r="A100" s="246" t="s">
        <v>572</v>
      </c>
      <c r="B100" s="247">
        <v>6000386</v>
      </c>
      <c r="C100" s="153">
        <v>4535002</v>
      </c>
      <c r="D100" s="252" t="s">
        <v>407</v>
      </c>
      <c r="E100" s="153"/>
      <c r="F100" s="119">
        <v>550</v>
      </c>
      <c r="G100" s="119">
        <v>550</v>
      </c>
      <c r="H100" s="250">
        <f t="shared" si="4"/>
        <v>11637.63</v>
      </c>
      <c r="I100" s="119">
        <v>9446.0499999999993</v>
      </c>
      <c r="J100" s="119">
        <f>523.9+332.51</f>
        <v>856.41</v>
      </c>
      <c r="K100" s="119">
        <f>159.27+101.08</f>
        <v>260.35000000000002</v>
      </c>
      <c r="L100" s="119">
        <v>1074.82</v>
      </c>
      <c r="M100" s="119"/>
      <c r="N100" s="252"/>
      <c r="O100" s="268">
        <f t="shared" si="5"/>
        <v>-11087.63</v>
      </c>
      <c r="P100" s="252" t="s">
        <v>582</v>
      </c>
      <c r="Q100" s="252" t="s">
        <v>717</v>
      </c>
      <c r="R100" s="256">
        <f>H100/1000</f>
        <v>11.63763</v>
      </c>
    </row>
    <row r="101" spans="1:19" ht="15" customHeight="1">
      <c r="A101" s="246" t="s">
        <v>572</v>
      </c>
      <c r="B101" s="247">
        <v>6000386</v>
      </c>
      <c r="C101" s="153">
        <v>5723001</v>
      </c>
      <c r="D101" s="252" t="s">
        <v>718</v>
      </c>
      <c r="E101" s="153"/>
      <c r="F101" s="119">
        <v>47103.519999999997</v>
      </c>
      <c r="G101" s="119">
        <v>21196.59</v>
      </c>
      <c r="H101" s="250">
        <f t="shared" si="4"/>
        <v>11637.63</v>
      </c>
      <c r="I101" s="119">
        <v>9446.0499999999993</v>
      </c>
      <c r="J101" s="119">
        <v>856.41</v>
      </c>
      <c r="K101" s="119">
        <v>260.35000000000002</v>
      </c>
      <c r="L101" s="119">
        <v>1074.82</v>
      </c>
      <c r="M101" s="119"/>
      <c r="N101" s="252"/>
      <c r="O101" s="268">
        <f t="shared" si="5"/>
        <v>9558.9600000000009</v>
      </c>
      <c r="P101" s="252" t="s">
        <v>582</v>
      </c>
      <c r="Q101" s="252" t="s">
        <v>719</v>
      </c>
    </row>
    <row r="102" spans="1:19" ht="15" customHeight="1">
      <c r="A102" s="246" t="s">
        <v>572</v>
      </c>
      <c r="B102" s="247">
        <v>6000386</v>
      </c>
      <c r="C102" s="153">
        <v>5594002</v>
      </c>
      <c r="D102" s="252" t="s">
        <v>720</v>
      </c>
      <c r="E102" s="153"/>
      <c r="F102" s="153">
        <v>17821.28</v>
      </c>
      <c r="G102" s="153">
        <v>17821.28</v>
      </c>
      <c r="H102" s="255">
        <f t="shared" si="4"/>
        <v>4422.09</v>
      </c>
      <c r="I102" s="153">
        <v>2230.5100000000002</v>
      </c>
      <c r="J102" s="119">
        <v>856.41</v>
      </c>
      <c r="K102" s="119">
        <v>260.35000000000002</v>
      </c>
      <c r="L102" s="119">
        <v>1074.82</v>
      </c>
      <c r="M102" s="153"/>
      <c r="N102" s="252"/>
      <c r="O102" s="268">
        <f t="shared" si="5"/>
        <v>13399.189999999999</v>
      </c>
      <c r="P102" s="252" t="s">
        <v>576</v>
      </c>
      <c r="Q102" s="252" t="s">
        <v>721</v>
      </c>
    </row>
    <row r="103" spans="1:19" ht="15" customHeight="1">
      <c r="A103" s="246" t="s">
        <v>572</v>
      </c>
      <c r="B103" s="247">
        <v>6000386</v>
      </c>
      <c r="C103" s="153">
        <v>5766001</v>
      </c>
      <c r="D103" s="252" t="s">
        <v>722</v>
      </c>
      <c r="E103" s="153"/>
      <c r="F103" s="119">
        <v>550</v>
      </c>
      <c r="G103" s="119">
        <v>550</v>
      </c>
      <c r="H103" s="255">
        <f t="shared" si="4"/>
        <v>5773.78</v>
      </c>
      <c r="I103" s="119">
        <v>3582.2</v>
      </c>
      <c r="J103" s="119">
        <v>856.41</v>
      </c>
      <c r="K103" s="119">
        <v>260.35000000000002</v>
      </c>
      <c r="L103" s="119">
        <v>1074.82</v>
      </c>
      <c r="M103" s="153"/>
      <c r="N103" s="252"/>
      <c r="O103" s="268">
        <f t="shared" si="5"/>
        <v>-5223.78</v>
      </c>
      <c r="P103" s="252" t="s">
        <v>576</v>
      </c>
      <c r="Q103" s="252" t="s">
        <v>723</v>
      </c>
      <c r="R103" s="256">
        <f t="shared" ref="R103:R104" si="8">H103/1000</f>
        <v>5.7737799999999995</v>
      </c>
    </row>
    <row r="104" spans="1:19" ht="15" customHeight="1">
      <c r="A104" s="246" t="s">
        <v>572</v>
      </c>
      <c r="B104" s="247">
        <v>6000386</v>
      </c>
      <c r="C104" s="153">
        <v>5690003</v>
      </c>
      <c r="D104" s="252" t="s">
        <v>262</v>
      </c>
      <c r="E104" s="153"/>
      <c r="F104" s="119">
        <v>550</v>
      </c>
      <c r="G104" s="119">
        <v>550</v>
      </c>
      <c r="H104" s="255">
        <f t="shared" si="4"/>
        <v>11083.98</v>
      </c>
      <c r="I104" s="119">
        <v>8892.4</v>
      </c>
      <c r="J104" s="119">
        <v>856.41</v>
      </c>
      <c r="K104" s="119">
        <v>260.35000000000002</v>
      </c>
      <c r="L104" s="119">
        <v>1074.82</v>
      </c>
      <c r="M104" s="153"/>
      <c r="N104" s="252"/>
      <c r="O104" s="268">
        <f t="shared" si="5"/>
        <v>-10533.98</v>
      </c>
      <c r="P104" s="252" t="s">
        <v>585</v>
      </c>
      <c r="Q104" s="252"/>
      <c r="R104" s="256">
        <f t="shared" si="8"/>
        <v>11.08398</v>
      </c>
    </row>
    <row r="105" spans="1:19" ht="15" customHeight="1">
      <c r="A105" s="246" t="s">
        <v>572</v>
      </c>
      <c r="B105" s="247">
        <v>6000386</v>
      </c>
      <c r="C105" s="153">
        <v>305002</v>
      </c>
      <c r="D105" s="252" t="s">
        <v>385</v>
      </c>
      <c r="E105" s="153"/>
      <c r="F105" s="119">
        <v>60362.82</v>
      </c>
      <c r="G105" s="119">
        <v>27163.27</v>
      </c>
      <c r="H105" s="255">
        <f t="shared" si="4"/>
        <v>23926.46</v>
      </c>
      <c r="I105" s="119">
        <v>20198.34</v>
      </c>
      <c r="J105" s="119">
        <f>1699.13+634.55</f>
        <v>2333.6800000000003</v>
      </c>
      <c r="K105" s="119">
        <f>516.54+192.9</f>
        <v>709.43999999999994</v>
      </c>
      <c r="L105" s="119">
        <v>685</v>
      </c>
      <c r="M105" s="153"/>
      <c r="N105" s="252"/>
      <c r="O105" s="268">
        <f t="shared" si="5"/>
        <v>3236.8100000000013</v>
      </c>
      <c r="P105" s="252" t="s">
        <v>724</v>
      </c>
      <c r="Q105" s="252" t="s">
        <v>725</v>
      </c>
    </row>
    <row r="106" spans="1:19" ht="15" customHeight="1">
      <c r="A106" s="246" t="s">
        <v>572</v>
      </c>
      <c r="B106" s="247">
        <v>6000386</v>
      </c>
      <c r="C106" s="153">
        <v>3965001</v>
      </c>
      <c r="D106" s="252" t="s">
        <v>392</v>
      </c>
      <c r="E106" s="153"/>
      <c r="F106" s="119">
        <v>60362.82</v>
      </c>
      <c r="G106" s="119">
        <v>60362.82</v>
      </c>
      <c r="H106" s="255">
        <f t="shared" si="4"/>
        <v>25875.989999999998</v>
      </c>
      <c r="I106" s="119">
        <v>22147.87</v>
      </c>
      <c r="J106" s="119">
        <v>2333.6799999999998</v>
      </c>
      <c r="K106" s="119">
        <v>709.44</v>
      </c>
      <c r="L106" s="119">
        <v>685</v>
      </c>
      <c r="M106" s="153"/>
      <c r="N106" s="252"/>
      <c r="O106" s="268">
        <f t="shared" si="5"/>
        <v>34486.83</v>
      </c>
      <c r="P106" s="252" t="s">
        <v>724</v>
      </c>
      <c r="Q106" s="252" t="s">
        <v>726</v>
      </c>
    </row>
    <row r="107" spans="1:19" ht="15" customHeight="1">
      <c r="A107" s="246" t="s">
        <v>572</v>
      </c>
      <c r="B107" s="247">
        <v>6000386</v>
      </c>
      <c r="C107" s="153">
        <v>5673001</v>
      </c>
      <c r="D107" s="252" t="s">
        <v>335</v>
      </c>
      <c r="E107" s="153"/>
      <c r="F107" s="119">
        <v>60362.82</v>
      </c>
      <c r="G107" s="119">
        <v>9054.42</v>
      </c>
      <c r="H107" s="255">
        <f t="shared" si="4"/>
        <v>20010.339999999997</v>
      </c>
      <c r="I107" s="119">
        <v>16282.22</v>
      </c>
      <c r="J107" s="119">
        <v>2333.6799999999998</v>
      </c>
      <c r="K107" s="119">
        <v>709.44</v>
      </c>
      <c r="L107" s="119">
        <v>685</v>
      </c>
      <c r="M107" s="153"/>
      <c r="N107" s="252"/>
      <c r="O107" s="268">
        <f t="shared" si="5"/>
        <v>-10955.919999999996</v>
      </c>
      <c r="P107" s="252" t="s">
        <v>724</v>
      </c>
      <c r="Q107" s="252" t="s">
        <v>727</v>
      </c>
      <c r="R107" s="158">
        <f>F107/1.2/1000</f>
        <v>50.302349999999997</v>
      </c>
      <c r="S107" s="158">
        <f>H107/1000</f>
        <v>20.010339999999996</v>
      </c>
    </row>
    <row r="108" spans="1:19" ht="15" customHeight="1">
      <c r="A108" s="246" t="s">
        <v>572</v>
      </c>
      <c r="B108" s="247">
        <v>6000386</v>
      </c>
      <c r="C108" s="153">
        <v>5586001</v>
      </c>
      <c r="D108" s="252" t="s">
        <v>405</v>
      </c>
      <c r="E108" s="153"/>
      <c r="F108" s="119">
        <v>550</v>
      </c>
      <c r="G108" s="119">
        <v>550</v>
      </c>
      <c r="H108" s="255">
        <f t="shared" si="4"/>
        <v>10833.69</v>
      </c>
      <c r="I108" s="119">
        <v>8638.92</v>
      </c>
      <c r="J108" s="119">
        <f>523.9+332.51</f>
        <v>856.41</v>
      </c>
      <c r="K108" s="119">
        <f>159.27+101.08</f>
        <v>260.35000000000002</v>
      </c>
      <c r="L108" s="119">
        <v>1078.01</v>
      </c>
      <c r="M108" s="153"/>
      <c r="N108" s="252"/>
      <c r="O108" s="268">
        <f t="shared" si="5"/>
        <v>-10283.69</v>
      </c>
      <c r="P108" s="252" t="s">
        <v>728</v>
      </c>
      <c r="Q108" s="252"/>
      <c r="R108" s="256">
        <f t="shared" ref="R108:R114" si="9">H108/1000</f>
        <v>10.833690000000001</v>
      </c>
    </row>
    <row r="109" spans="1:19" ht="30">
      <c r="A109" s="246" t="s">
        <v>572</v>
      </c>
      <c r="B109" s="247">
        <v>6000386</v>
      </c>
      <c r="C109" s="153">
        <v>5739001</v>
      </c>
      <c r="D109" s="252" t="s">
        <v>729</v>
      </c>
      <c r="E109" s="153"/>
      <c r="F109" s="119">
        <v>550</v>
      </c>
      <c r="G109" s="119">
        <v>550</v>
      </c>
      <c r="H109" s="255">
        <f t="shared" si="4"/>
        <v>11629.73</v>
      </c>
      <c r="I109" s="119">
        <v>9446.0499999999993</v>
      </c>
      <c r="J109" s="119">
        <f>515.4+332.51</f>
        <v>847.91</v>
      </c>
      <c r="K109" s="119">
        <f>156.68+101.08</f>
        <v>257.76</v>
      </c>
      <c r="L109" s="119">
        <v>1078.01</v>
      </c>
      <c r="M109" s="153"/>
      <c r="N109" s="252"/>
      <c r="O109" s="268">
        <f t="shared" si="5"/>
        <v>-11079.73</v>
      </c>
      <c r="P109" s="252" t="s">
        <v>582</v>
      </c>
      <c r="Q109" s="252"/>
      <c r="R109" s="256">
        <f t="shared" si="9"/>
        <v>11.62973</v>
      </c>
    </row>
    <row r="110" spans="1:19" ht="30">
      <c r="A110" s="246" t="s">
        <v>572</v>
      </c>
      <c r="B110" s="247">
        <v>6000386</v>
      </c>
      <c r="C110" s="153">
        <v>5756001</v>
      </c>
      <c r="D110" s="252" t="s">
        <v>730</v>
      </c>
      <c r="E110" s="153"/>
      <c r="F110" s="119">
        <v>550</v>
      </c>
      <c r="G110" s="119">
        <v>550</v>
      </c>
      <c r="H110" s="255">
        <f t="shared" si="4"/>
        <v>11629.73</v>
      </c>
      <c r="I110" s="119">
        <v>9446.0499999999993</v>
      </c>
      <c r="J110" s="119">
        <v>847.91</v>
      </c>
      <c r="K110" s="119">
        <v>257.76</v>
      </c>
      <c r="L110" s="119">
        <v>1078.01</v>
      </c>
      <c r="M110" s="153"/>
      <c r="N110" s="252"/>
      <c r="O110" s="268">
        <f t="shared" si="5"/>
        <v>-11079.73</v>
      </c>
      <c r="P110" s="252" t="s">
        <v>582</v>
      </c>
      <c r="Q110" s="252"/>
      <c r="R110" s="256">
        <f t="shared" si="9"/>
        <v>11.62973</v>
      </c>
    </row>
    <row r="111" spans="1:19" ht="30">
      <c r="A111" s="246" t="s">
        <v>572</v>
      </c>
      <c r="B111" s="247">
        <v>6000386</v>
      </c>
      <c r="C111" s="153">
        <v>3095002</v>
      </c>
      <c r="D111" s="252" t="s">
        <v>731</v>
      </c>
      <c r="E111" s="153"/>
      <c r="F111" s="119">
        <v>550</v>
      </c>
      <c r="G111" s="119">
        <v>550</v>
      </c>
      <c r="H111" s="255">
        <f t="shared" si="4"/>
        <v>11629.73</v>
      </c>
      <c r="I111" s="119">
        <v>9446.0499999999993</v>
      </c>
      <c r="J111" s="119">
        <v>847.91</v>
      </c>
      <c r="K111" s="119">
        <v>257.76</v>
      </c>
      <c r="L111" s="119">
        <v>1078.01</v>
      </c>
      <c r="M111" s="153"/>
      <c r="N111" s="252"/>
      <c r="O111" s="268">
        <f t="shared" si="5"/>
        <v>-11079.73</v>
      </c>
      <c r="P111" s="252" t="s">
        <v>582</v>
      </c>
      <c r="Q111" s="252"/>
      <c r="R111" s="256">
        <f t="shared" si="9"/>
        <v>11.62973</v>
      </c>
    </row>
    <row r="112" spans="1:19" ht="30">
      <c r="A112" s="246" t="s">
        <v>572</v>
      </c>
      <c r="B112" s="247">
        <v>6000386</v>
      </c>
      <c r="C112" s="153">
        <v>5747001</v>
      </c>
      <c r="D112" s="252" t="s">
        <v>732</v>
      </c>
      <c r="E112" s="153"/>
      <c r="F112" s="119">
        <v>550</v>
      </c>
      <c r="G112" s="119">
        <v>550</v>
      </c>
      <c r="H112" s="255">
        <f t="shared" si="4"/>
        <v>11629.73</v>
      </c>
      <c r="I112" s="119">
        <v>9446.0499999999993</v>
      </c>
      <c r="J112" s="119">
        <v>847.91</v>
      </c>
      <c r="K112" s="119">
        <v>257.76</v>
      </c>
      <c r="L112" s="119">
        <v>1078.01</v>
      </c>
      <c r="M112" s="153"/>
      <c r="N112" s="252"/>
      <c r="O112" s="268">
        <f t="shared" si="5"/>
        <v>-11079.73</v>
      </c>
      <c r="P112" s="252" t="s">
        <v>582</v>
      </c>
      <c r="Q112" s="252"/>
      <c r="R112" s="256">
        <f t="shared" si="9"/>
        <v>11.62973</v>
      </c>
    </row>
    <row r="113" spans="1:19" ht="30">
      <c r="A113" s="246" t="s">
        <v>572</v>
      </c>
      <c r="B113" s="247">
        <v>6000386</v>
      </c>
      <c r="C113" s="153">
        <v>5801001</v>
      </c>
      <c r="D113" s="252" t="s">
        <v>733</v>
      </c>
      <c r="E113" s="153"/>
      <c r="F113" s="119">
        <v>550</v>
      </c>
      <c r="G113" s="119">
        <v>550</v>
      </c>
      <c r="H113" s="255">
        <f t="shared" si="4"/>
        <v>11629.73</v>
      </c>
      <c r="I113" s="119">
        <v>9446.0499999999993</v>
      </c>
      <c r="J113" s="119">
        <v>847.91</v>
      </c>
      <c r="K113" s="119">
        <v>257.76</v>
      </c>
      <c r="L113" s="119">
        <v>1078.01</v>
      </c>
      <c r="M113" s="153"/>
      <c r="N113" s="252"/>
      <c r="O113" s="268">
        <f t="shared" si="5"/>
        <v>-11079.73</v>
      </c>
      <c r="P113" s="252" t="s">
        <v>582</v>
      </c>
      <c r="Q113" s="252"/>
      <c r="R113" s="256">
        <f t="shared" si="9"/>
        <v>11.62973</v>
      </c>
    </row>
    <row r="114" spans="1:19" ht="30">
      <c r="A114" s="246" t="s">
        <v>572</v>
      </c>
      <c r="B114" s="247">
        <v>6000386</v>
      </c>
      <c r="C114" s="153">
        <v>5768001</v>
      </c>
      <c r="D114" s="252" t="s">
        <v>433</v>
      </c>
      <c r="E114" s="153"/>
      <c r="F114" s="119">
        <v>550</v>
      </c>
      <c r="G114" s="119">
        <v>550</v>
      </c>
      <c r="H114" s="255">
        <f t="shared" si="4"/>
        <v>11629.73</v>
      </c>
      <c r="I114" s="119">
        <v>9446.0499999999993</v>
      </c>
      <c r="J114" s="119">
        <v>847.91</v>
      </c>
      <c r="K114" s="119">
        <v>257.76</v>
      </c>
      <c r="L114" s="119">
        <v>1078.01</v>
      </c>
      <c r="M114" s="153"/>
      <c r="N114" s="252"/>
      <c r="O114" s="268">
        <f t="shared" si="5"/>
        <v>-11079.73</v>
      </c>
      <c r="P114" s="252" t="s">
        <v>582</v>
      </c>
      <c r="Q114" s="252"/>
      <c r="R114" s="256">
        <f t="shared" si="9"/>
        <v>11.62973</v>
      </c>
    </row>
    <row r="115" spans="1:19" ht="30">
      <c r="A115" s="246" t="s">
        <v>572</v>
      </c>
      <c r="B115" s="247">
        <v>6000386</v>
      </c>
      <c r="C115" s="164">
        <v>1994014</v>
      </c>
      <c r="D115" s="252" t="s">
        <v>734</v>
      </c>
      <c r="E115" s="153"/>
      <c r="F115" s="119">
        <v>47103.519999999997</v>
      </c>
      <c r="G115" s="119">
        <v>47103.519999999997</v>
      </c>
      <c r="H115" s="255">
        <f t="shared" si="4"/>
        <v>23921.27</v>
      </c>
      <c r="I115" s="119">
        <v>19575.77</v>
      </c>
      <c r="J115" s="119">
        <f>1840.72+665.02</f>
        <v>2505.7399999999998</v>
      </c>
      <c r="K115" s="119">
        <f>559.58+202.17</f>
        <v>761.75</v>
      </c>
      <c r="L115" s="119">
        <v>1078.01</v>
      </c>
      <c r="M115" s="153"/>
      <c r="N115" s="252">
        <v>8.0000000000000002E-3</v>
      </c>
      <c r="O115" s="268">
        <f t="shared" si="5"/>
        <v>23182.249999999996</v>
      </c>
      <c r="P115" s="252" t="s">
        <v>582</v>
      </c>
      <c r="Q115" s="252" t="s">
        <v>735</v>
      </c>
    </row>
    <row r="116" spans="1:19" ht="30">
      <c r="A116" s="246" t="s">
        <v>572</v>
      </c>
      <c r="B116" s="247">
        <v>6000386</v>
      </c>
      <c r="C116" s="153">
        <v>1994016</v>
      </c>
      <c r="D116" s="252" t="s">
        <v>734</v>
      </c>
      <c r="E116" s="153"/>
      <c r="F116" s="119">
        <v>36129.870000000003</v>
      </c>
      <c r="G116" s="119">
        <v>36129.870000000003</v>
      </c>
      <c r="H116" s="255">
        <f t="shared" si="4"/>
        <v>11629.73</v>
      </c>
      <c r="I116" s="119">
        <v>9446.0499999999993</v>
      </c>
      <c r="J116" s="119">
        <v>847.91</v>
      </c>
      <c r="K116" s="119">
        <v>257.76</v>
      </c>
      <c r="L116" s="119">
        <v>1078.01</v>
      </c>
      <c r="M116" s="153"/>
      <c r="N116" s="252"/>
      <c r="O116" s="268">
        <f t="shared" si="5"/>
        <v>24500.140000000003</v>
      </c>
      <c r="P116" s="252" t="s">
        <v>582</v>
      </c>
      <c r="Q116" s="252" t="s">
        <v>736</v>
      </c>
    </row>
    <row r="117" spans="1:19" ht="30">
      <c r="A117" s="246" t="s">
        <v>572</v>
      </c>
      <c r="B117" s="247">
        <v>6000386</v>
      </c>
      <c r="C117" s="153">
        <v>5742001</v>
      </c>
      <c r="D117" s="252" t="s">
        <v>737</v>
      </c>
      <c r="E117" s="153"/>
      <c r="F117" s="119">
        <v>550</v>
      </c>
      <c r="G117" s="119">
        <v>550</v>
      </c>
      <c r="H117" s="255">
        <f t="shared" si="4"/>
        <v>16615.419999999998</v>
      </c>
      <c r="I117" s="119">
        <v>14431.74</v>
      </c>
      <c r="J117" s="119">
        <v>847.91</v>
      </c>
      <c r="K117" s="119">
        <v>257.76</v>
      </c>
      <c r="L117" s="119">
        <v>1078.01</v>
      </c>
      <c r="M117" s="153"/>
      <c r="N117" s="252"/>
      <c r="O117" s="268">
        <f t="shared" si="5"/>
        <v>-16065.419999999998</v>
      </c>
      <c r="P117" s="252" t="s">
        <v>738</v>
      </c>
      <c r="Q117" s="252" t="s">
        <v>739</v>
      </c>
      <c r="R117" s="256">
        <f>H117/1000</f>
        <v>16.615419999999997</v>
      </c>
    </row>
    <row r="118" spans="1:19" ht="30">
      <c r="A118" s="246" t="s">
        <v>572</v>
      </c>
      <c r="B118" s="247">
        <v>6000386</v>
      </c>
      <c r="C118" s="153">
        <v>3239007</v>
      </c>
      <c r="D118" s="252" t="s">
        <v>388</v>
      </c>
      <c r="E118" s="153"/>
      <c r="F118" s="119">
        <v>17821.28</v>
      </c>
      <c r="G118" s="119">
        <v>8019.57</v>
      </c>
      <c r="H118" s="255">
        <f t="shared" si="4"/>
        <v>16615.419999999998</v>
      </c>
      <c r="I118" s="119">
        <v>14431.74</v>
      </c>
      <c r="J118" s="119">
        <v>847.91</v>
      </c>
      <c r="K118" s="119">
        <v>257.76</v>
      </c>
      <c r="L118" s="119">
        <v>1078.01</v>
      </c>
      <c r="M118" s="153"/>
      <c r="N118" s="252"/>
      <c r="O118" s="268">
        <f t="shared" si="5"/>
        <v>-8595.8499999999985</v>
      </c>
      <c r="P118" s="252" t="s">
        <v>738</v>
      </c>
      <c r="Q118" s="252" t="s">
        <v>740</v>
      </c>
      <c r="R118" s="158">
        <f>F118/1.2/1000</f>
        <v>14.851066666666666</v>
      </c>
      <c r="S118" s="158">
        <f>H118/1000</f>
        <v>16.615419999999997</v>
      </c>
    </row>
    <row r="119" spans="1:19" ht="30">
      <c r="A119" s="246" t="s">
        <v>572</v>
      </c>
      <c r="B119" s="247">
        <v>6000386</v>
      </c>
      <c r="C119" s="153">
        <v>3239006</v>
      </c>
      <c r="D119" s="252" t="s">
        <v>388</v>
      </c>
      <c r="E119" s="153"/>
      <c r="F119" s="119">
        <v>550</v>
      </c>
      <c r="G119" s="119">
        <v>550</v>
      </c>
      <c r="H119" s="255">
        <f t="shared" si="4"/>
        <v>15637.68</v>
      </c>
      <c r="I119" s="119">
        <v>13454</v>
      </c>
      <c r="J119" s="119">
        <v>847.91</v>
      </c>
      <c r="K119" s="119">
        <v>257.76</v>
      </c>
      <c r="L119" s="119">
        <v>1078.01</v>
      </c>
      <c r="M119" s="153"/>
      <c r="N119" s="252"/>
      <c r="O119" s="268">
        <f t="shared" si="5"/>
        <v>-15087.68</v>
      </c>
      <c r="P119" s="252" t="s">
        <v>738</v>
      </c>
      <c r="Q119" s="252" t="s">
        <v>741</v>
      </c>
      <c r="R119" s="256">
        <f>H119/1000</f>
        <v>15.63768</v>
      </c>
    </row>
    <row r="120" spans="1:19" ht="15" customHeight="1">
      <c r="A120" s="246" t="s">
        <v>572</v>
      </c>
      <c r="B120" s="247">
        <v>6000386</v>
      </c>
      <c r="C120" s="153">
        <v>5716001</v>
      </c>
      <c r="D120" s="252" t="s">
        <v>742</v>
      </c>
      <c r="E120" s="153"/>
      <c r="F120" s="119">
        <v>60362.82</v>
      </c>
      <c r="G120" s="119">
        <v>60362.82</v>
      </c>
      <c r="H120" s="255">
        <f t="shared" si="4"/>
        <v>20450.840000000004</v>
      </c>
      <c r="I120" s="119">
        <v>17476.61</v>
      </c>
      <c r="J120" s="119">
        <f>1699.13+317.28</f>
        <v>2016.41</v>
      </c>
      <c r="K120" s="119">
        <f>516.54+96.45</f>
        <v>612.99</v>
      </c>
      <c r="L120" s="119">
        <v>344.83</v>
      </c>
      <c r="M120" s="153"/>
      <c r="N120" s="252"/>
      <c r="O120" s="268">
        <f t="shared" si="5"/>
        <v>39911.979999999996</v>
      </c>
      <c r="P120" s="252" t="s">
        <v>724</v>
      </c>
      <c r="Q120" s="262" t="s">
        <v>743</v>
      </c>
    </row>
    <row r="121" spans="1:19" ht="15" customHeight="1">
      <c r="A121" s="246" t="s">
        <v>572</v>
      </c>
      <c r="B121" s="247">
        <v>6000386</v>
      </c>
      <c r="C121" s="164">
        <v>2467073</v>
      </c>
      <c r="D121" s="252" t="s">
        <v>744</v>
      </c>
      <c r="E121" s="153"/>
      <c r="F121" s="119">
        <v>45947.45</v>
      </c>
      <c r="G121" s="119">
        <v>45947.45</v>
      </c>
      <c r="H121" s="255">
        <f t="shared" si="4"/>
        <v>10700.93</v>
      </c>
      <c r="I121" s="119">
        <v>8517.25</v>
      </c>
      <c r="J121" s="119">
        <v>847.91</v>
      </c>
      <c r="K121" s="119">
        <v>257.76</v>
      </c>
      <c r="L121" s="119">
        <v>1078.01</v>
      </c>
      <c r="M121" s="153"/>
      <c r="N121" s="252"/>
      <c r="O121" s="268">
        <f t="shared" si="5"/>
        <v>35246.519999999997</v>
      </c>
      <c r="P121" s="252" t="s">
        <v>745</v>
      </c>
      <c r="Q121" s="252" t="s">
        <v>746</v>
      </c>
    </row>
    <row r="122" spans="1:19" ht="15" customHeight="1">
      <c r="A122" s="246" t="s">
        <v>572</v>
      </c>
      <c r="B122" s="247">
        <v>6000386</v>
      </c>
      <c r="C122" s="153">
        <v>5781002</v>
      </c>
      <c r="D122" s="252" t="s">
        <v>747</v>
      </c>
      <c r="E122" s="153"/>
      <c r="F122" s="119">
        <v>38420.99</v>
      </c>
      <c r="G122" s="119">
        <v>38420.99</v>
      </c>
      <c r="H122" s="255">
        <f t="shared" si="4"/>
        <v>10073.68</v>
      </c>
      <c r="I122" s="119">
        <v>7890</v>
      </c>
      <c r="J122" s="119">
        <f>515.4+332.51</f>
        <v>847.91</v>
      </c>
      <c r="K122" s="119">
        <v>257.76</v>
      </c>
      <c r="L122" s="119">
        <v>1078.01</v>
      </c>
      <c r="M122" s="153"/>
      <c r="N122" s="252"/>
      <c r="O122" s="268">
        <f t="shared" si="5"/>
        <v>28347.309999999998</v>
      </c>
      <c r="P122" s="252" t="s">
        <v>748</v>
      </c>
      <c r="Q122" s="252" t="s">
        <v>749</v>
      </c>
    </row>
    <row r="123" spans="1:19" ht="15" customHeight="1">
      <c r="A123" s="246" t="s">
        <v>572</v>
      </c>
      <c r="B123" s="247">
        <v>6000386</v>
      </c>
      <c r="C123" s="153">
        <v>5781001</v>
      </c>
      <c r="D123" s="252" t="s">
        <v>747</v>
      </c>
      <c r="E123" s="153"/>
      <c r="F123" s="119">
        <v>550</v>
      </c>
      <c r="G123" s="119">
        <v>550</v>
      </c>
      <c r="H123" s="255">
        <f t="shared" si="4"/>
        <v>10073.68</v>
      </c>
      <c r="I123" s="119">
        <v>7890</v>
      </c>
      <c r="J123" s="119">
        <f>515.4+332.51</f>
        <v>847.91</v>
      </c>
      <c r="K123" s="119">
        <v>257.76</v>
      </c>
      <c r="L123" s="119">
        <v>1078.01</v>
      </c>
      <c r="M123" s="153"/>
      <c r="N123" s="252"/>
      <c r="O123" s="268">
        <f t="shared" si="5"/>
        <v>-9523.68</v>
      </c>
      <c r="P123" s="252" t="s">
        <v>748</v>
      </c>
      <c r="Q123" s="252" t="s">
        <v>750</v>
      </c>
      <c r="R123" s="256">
        <f t="shared" ref="R123:R124" si="10">H123/1000</f>
        <v>10.07368</v>
      </c>
    </row>
    <row r="124" spans="1:19" ht="30">
      <c r="A124" s="246" t="s">
        <v>572</v>
      </c>
      <c r="B124" s="247">
        <v>6000386</v>
      </c>
      <c r="C124" s="153">
        <v>5741002</v>
      </c>
      <c r="D124" s="252" t="s">
        <v>751</v>
      </c>
      <c r="E124" s="153"/>
      <c r="F124" s="119">
        <v>550</v>
      </c>
      <c r="G124" s="119">
        <v>550</v>
      </c>
      <c r="H124" s="255">
        <f t="shared" si="4"/>
        <v>11629.73</v>
      </c>
      <c r="I124" s="119">
        <v>9446.0499999999993</v>
      </c>
      <c r="J124" s="119">
        <f>515.4+332.51</f>
        <v>847.91</v>
      </c>
      <c r="K124" s="119">
        <v>257.76</v>
      </c>
      <c r="L124" s="119">
        <v>1078.01</v>
      </c>
      <c r="M124" s="153"/>
      <c r="N124" s="252"/>
      <c r="O124" s="268">
        <f t="shared" si="5"/>
        <v>-11079.73</v>
      </c>
      <c r="P124" s="252" t="s">
        <v>582</v>
      </c>
      <c r="Q124" s="252" t="s">
        <v>752</v>
      </c>
      <c r="R124" s="256">
        <f t="shared" si="10"/>
        <v>11.62973</v>
      </c>
    </row>
    <row r="125" spans="1:19" ht="30">
      <c r="A125" s="246" t="s">
        <v>572</v>
      </c>
      <c r="B125" s="247">
        <v>6000386</v>
      </c>
      <c r="C125" s="153">
        <v>2467072</v>
      </c>
      <c r="D125" s="252" t="s">
        <v>744</v>
      </c>
      <c r="E125" s="153"/>
      <c r="F125" s="119">
        <v>47103.519999999997</v>
      </c>
      <c r="G125" s="119">
        <v>47103.519999999997</v>
      </c>
      <c r="H125" s="255">
        <f t="shared" si="4"/>
        <v>11629.73</v>
      </c>
      <c r="I125" s="119">
        <v>9446.0499999999993</v>
      </c>
      <c r="J125" s="119">
        <f>515.4+332.51</f>
        <v>847.91</v>
      </c>
      <c r="K125" s="119">
        <v>257.76</v>
      </c>
      <c r="L125" s="119">
        <v>1078.01</v>
      </c>
      <c r="M125" s="153"/>
      <c r="N125" s="252"/>
      <c r="O125" s="268">
        <f t="shared" si="5"/>
        <v>35473.789999999994</v>
      </c>
      <c r="P125" s="252" t="s">
        <v>582</v>
      </c>
      <c r="Q125" s="252" t="s">
        <v>753</v>
      </c>
    </row>
    <row r="126" spans="1:19" ht="15" customHeight="1">
      <c r="A126" s="246" t="s">
        <v>572</v>
      </c>
      <c r="B126" s="247">
        <v>6000386</v>
      </c>
      <c r="C126" s="153">
        <v>5789001</v>
      </c>
      <c r="D126" s="252" t="s">
        <v>754</v>
      </c>
      <c r="E126" s="153"/>
      <c r="F126" s="263">
        <v>550</v>
      </c>
      <c r="G126" s="263">
        <v>550</v>
      </c>
      <c r="H126" s="255">
        <f t="shared" si="4"/>
        <v>13664.279999999999</v>
      </c>
      <c r="I126" s="263">
        <v>11482.05</v>
      </c>
      <c r="J126" s="263">
        <f>512.57+332.51</f>
        <v>845.08</v>
      </c>
      <c r="K126" s="263">
        <f>155.82+101.08</f>
        <v>256.89999999999998</v>
      </c>
      <c r="L126" s="263">
        <v>1080.25</v>
      </c>
      <c r="M126" s="153"/>
      <c r="N126" s="252"/>
      <c r="O126" s="268">
        <f t="shared" si="5"/>
        <v>-13114.279999999999</v>
      </c>
      <c r="P126" s="252" t="s">
        <v>755</v>
      </c>
      <c r="Q126" s="252"/>
      <c r="R126" s="256">
        <f>H126/1000</f>
        <v>13.664279999999998</v>
      </c>
    </row>
    <row r="127" spans="1:19" ht="30" customHeight="1">
      <c r="A127" s="246" t="s">
        <v>572</v>
      </c>
      <c r="B127" s="247">
        <v>6000386</v>
      </c>
      <c r="C127" s="153">
        <v>5690001</v>
      </c>
      <c r="D127" s="252" t="s">
        <v>262</v>
      </c>
      <c r="E127" s="153"/>
      <c r="F127" s="263">
        <v>102904.36</v>
      </c>
      <c r="G127" s="263">
        <v>46306.96</v>
      </c>
      <c r="H127" s="255">
        <f t="shared" si="4"/>
        <v>59615.93</v>
      </c>
      <c r="I127" s="263">
        <v>52835.79</v>
      </c>
      <c r="J127" s="263">
        <f>3398.26+1269.1</f>
        <v>4667.3600000000006</v>
      </c>
      <c r="K127" s="263">
        <f>1033.07+385.81</f>
        <v>1418.8799999999999</v>
      </c>
      <c r="L127" s="263">
        <v>693.9</v>
      </c>
      <c r="M127" s="153"/>
      <c r="N127" s="252"/>
      <c r="O127" s="268">
        <f t="shared" si="5"/>
        <v>-13308.970000000001</v>
      </c>
      <c r="P127" s="252" t="s">
        <v>756</v>
      </c>
      <c r="Q127" s="252" t="s">
        <v>757</v>
      </c>
      <c r="R127" s="158">
        <f>F127/1.2/1000</f>
        <v>85.753633333333326</v>
      </c>
      <c r="S127" s="158">
        <f>H127/1000</f>
        <v>59.615929999999999</v>
      </c>
    </row>
    <row r="128" spans="1:19" ht="30">
      <c r="A128" s="246" t="s">
        <v>572</v>
      </c>
      <c r="B128" s="247">
        <v>6000386</v>
      </c>
      <c r="C128" s="153">
        <v>1994017</v>
      </c>
      <c r="D128" s="252" t="s">
        <v>734</v>
      </c>
      <c r="E128" s="153"/>
      <c r="F128" s="263">
        <v>36129.870000000003</v>
      </c>
      <c r="G128" s="263">
        <v>36129.870000000003</v>
      </c>
      <c r="H128" s="255">
        <f t="shared" si="4"/>
        <v>15636.4</v>
      </c>
      <c r="I128" s="263">
        <v>13454</v>
      </c>
      <c r="J128" s="263">
        <f>1090.28+317.28</f>
        <v>1407.56</v>
      </c>
      <c r="K128" s="263">
        <f>331.44+96.45</f>
        <v>427.89</v>
      </c>
      <c r="L128" s="263">
        <v>346.95</v>
      </c>
      <c r="M128" s="153"/>
      <c r="N128" s="252"/>
      <c r="O128" s="268">
        <f t="shared" si="5"/>
        <v>20493.47</v>
      </c>
      <c r="P128" s="252" t="s">
        <v>738</v>
      </c>
      <c r="Q128" s="252" t="s">
        <v>758</v>
      </c>
    </row>
    <row r="129" spans="1:19" ht="15" customHeight="1">
      <c r="A129" s="246" t="s">
        <v>572</v>
      </c>
      <c r="B129" s="247">
        <v>6000386</v>
      </c>
      <c r="C129" s="153">
        <v>5628001</v>
      </c>
      <c r="D129" s="252" t="s">
        <v>395</v>
      </c>
      <c r="E129" s="153"/>
      <c r="F129" s="263">
        <v>17821.28</v>
      </c>
      <c r="G129" s="263">
        <v>17821.28</v>
      </c>
      <c r="H129" s="255">
        <f t="shared" si="4"/>
        <v>23029.670000000002</v>
      </c>
      <c r="I129" s="263">
        <v>19292.650000000001</v>
      </c>
      <c r="J129" s="263">
        <f>1699.13+634.55</f>
        <v>2333.6800000000003</v>
      </c>
      <c r="K129" s="263">
        <f>516.54+192.9</f>
        <v>709.43999999999994</v>
      </c>
      <c r="L129" s="263">
        <v>693.9</v>
      </c>
      <c r="M129" s="153"/>
      <c r="N129" s="252"/>
      <c r="O129" s="268">
        <f t="shared" si="5"/>
        <v>-5208.3900000000031</v>
      </c>
      <c r="P129" s="252" t="s">
        <v>724</v>
      </c>
      <c r="Q129" s="252" t="s">
        <v>759</v>
      </c>
      <c r="R129" s="158">
        <f>F129/1.2/1000</f>
        <v>14.851066666666666</v>
      </c>
      <c r="S129" s="158">
        <f>H129/1000</f>
        <v>23.029670000000003</v>
      </c>
    </row>
    <row r="130" spans="1:19" ht="15" customHeight="1">
      <c r="A130" s="246" t="s">
        <v>572</v>
      </c>
      <c r="B130" s="247">
        <v>6000386</v>
      </c>
      <c r="C130" s="153">
        <v>5684001</v>
      </c>
      <c r="D130" s="252" t="s">
        <v>424</v>
      </c>
      <c r="E130" s="153"/>
      <c r="F130" s="263">
        <v>60362.82</v>
      </c>
      <c r="G130" s="263">
        <v>60362.82</v>
      </c>
      <c r="H130" s="255">
        <f t="shared" si="4"/>
        <v>20548.79</v>
      </c>
      <c r="I130" s="263">
        <v>16811.77</v>
      </c>
      <c r="J130" s="263">
        <f>1699.13+634.55</f>
        <v>2333.6800000000003</v>
      </c>
      <c r="K130" s="263">
        <f>516.54+192.9</f>
        <v>709.43999999999994</v>
      </c>
      <c r="L130" s="263">
        <v>693.9</v>
      </c>
      <c r="M130" s="153"/>
      <c r="N130" s="252"/>
      <c r="O130" s="268">
        <f t="shared" si="5"/>
        <v>39814.03</v>
      </c>
      <c r="P130" s="252" t="s">
        <v>724</v>
      </c>
      <c r="Q130" s="252" t="s">
        <v>760</v>
      </c>
    </row>
    <row r="131" spans="1:19" ht="15" customHeight="1">
      <c r="A131" s="246" t="s">
        <v>572</v>
      </c>
      <c r="B131" s="247">
        <v>6000386</v>
      </c>
      <c r="C131" s="153">
        <v>5719001</v>
      </c>
      <c r="D131" s="252" t="s">
        <v>413</v>
      </c>
      <c r="E131" s="153"/>
      <c r="F131" s="263">
        <v>60362.82</v>
      </c>
      <c r="G131" s="263">
        <v>60362.82</v>
      </c>
      <c r="H131" s="255">
        <f t="shared" si="4"/>
        <v>24551.460000000003</v>
      </c>
      <c r="I131" s="263">
        <v>19706.61</v>
      </c>
      <c r="J131" s="263">
        <f>2548.7+634.55</f>
        <v>3183.25</v>
      </c>
      <c r="K131" s="263">
        <f>774.8+192.9</f>
        <v>967.69999999999993</v>
      </c>
      <c r="L131" s="263">
        <v>693.9</v>
      </c>
      <c r="M131" s="153"/>
      <c r="N131" s="252"/>
      <c r="O131" s="268">
        <f t="shared" si="5"/>
        <v>35811.360000000001</v>
      </c>
      <c r="P131" s="252" t="s">
        <v>573</v>
      </c>
      <c r="Q131" s="252" t="s">
        <v>761</v>
      </c>
    </row>
    <row r="132" spans="1:19" ht="15" customHeight="1">
      <c r="A132" s="246" t="s">
        <v>572</v>
      </c>
      <c r="B132" s="247">
        <v>6000386</v>
      </c>
      <c r="C132" s="153">
        <v>5614001</v>
      </c>
      <c r="D132" s="252" t="s">
        <v>401</v>
      </c>
      <c r="E132" s="153"/>
      <c r="F132" s="263">
        <v>17821.28</v>
      </c>
      <c r="G132" s="263">
        <v>15710.64</v>
      </c>
      <c r="H132" s="255">
        <f t="shared" si="4"/>
        <v>22004.080000000002</v>
      </c>
      <c r="I132" s="263">
        <v>17159.23</v>
      </c>
      <c r="J132" s="263">
        <f>2548.7+634.55</f>
        <v>3183.25</v>
      </c>
      <c r="K132" s="263">
        <f>774.8+192.9</f>
        <v>967.69999999999993</v>
      </c>
      <c r="L132" s="263">
        <v>693.9</v>
      </c>
      <c r="M132" s="153"/>
      <c r="N132" s="252"/>
      <c r="O132" s="268">
        <f t="shared" si="5"/>
        <v>-6293.4400000000023</v>
      </c>
      <c r="P132" s="252" t="s">
        <v>724</v>
      </c>
      <c r="Q132" s="252" t="s">
        <v>762</v>
      </c>
      <c r="R132" s="158">
        <f>F132/1.2/1000</f>
        <v>14.851066666666666</v>
      </c>
      <c r="S132" s="158">
        <f>H132/1000</f>
        <v>22.004080000000002</v>
      </c>
    </row>
    <row r="133" spans="1:19" ht="30">
      <c r="A133" s="246" t="s">
        <v>572</v>
      </c>
      <c r="B133" s="247">
        <v>6000386</v>
      </c>
      <c r="C133" s="153">
        <v>5733001</v>
      </c>
      <c r="D133" s="252" t="s">
        <v>763</v>
      </c>
      <c r="E133" s="153"/>
      <c r="F133" s="263">
        <v>550</v>
      </c>
      <c r="G133" s="263">
        <v>550</v>
      </c>
      <c r="H133" s="255">
        <f t="shared" si="4"/>
        <v>11628.279999999999</v>
      </c>
      <c r="I133" s="263">
        <v>9446.0499999999993</v>
      </c>
      <c r="J133" s="263">
        <f t="shared" ref="J133:J150" si="11">512.57+332.51</f>
        <v>845.08</v>
      </c>
      <c r="K133" s="263">
        <f t="shared" ref="K133:K150" si="12">155.82+101.08</f>
        <v>256.89999999999998</v>
      </c>
      <c r="L133" s="263">
        <v>1080.25</v>
      </c>
      <c r="M133" s="153"/>
      <c r="N133" s="252"/>
      <c r="O133" s="268">
        <f t="shared" si="5"/>
        <v>-11078.279999999999</v>
      </c>
      <c r="P133" s="252" t="s">
        <v>582</v>
      </c>
      <c r="Q133" s="252"/>
      <c r="R133" s="256">
        <f t="shared" ref="R133:R150" si="13">H133/1000</f>
        <v>11.628279999999998</v>
      </c>
    </row>
    <row r="134" spans="1:19" ht="30">
      <c r="A134" s="246" t="s">
        <v>572</v>
      </c>
      <c r="B134" s="247">
        <v>6000386</v>
      </c>
      <c r="C134" s="153">
        <v>5736001</v>
      </c>
      <c r="D134" s="252" t="s">
        <v>764</v>
      </c>
      <c r="E134" s="153"/>
      <c r="F134" s="263">
        <v>550</v>
      </c>
      <c r="G134" s="263">
        <v>550</v>
      </c>
      <c r="H134" s="255">
        <f t="shared" ref="H134:H197" si="14">SUM(I134:M134)</f>
        <v>11628.279999999999</v>
      </c>
      <c r="I134" s="263">
        <v>9446.0499999999993</v>
      </c>
      <c r="J134" s="263">
        <f t="shared" si="11"/>
        <v>845.08</v>
      </c>
      <c r="K134" s="263">
        <f t="shared" si="12"/>
        <v>256.89999999999998</v>
      </c>
      <c r="L134" s="263">
        <v>1080.25</v>
      </c>
      <c r="M134" s="153"/>
      <c r="N134" s="252"/>
      <c r="O134" s="268">
        <f t="shared" ref="O134:O197" si="15">G134-H134</f>
        <v>-11078.279999999999</v>
      </c>
      <c r="P134" s="252" t="s">
        <v>582</v>
      </c>
      <c r="Q134" s="252"/>
      <c r="R134" s="256">
        <f t="shared" si="13"/>
        <v>11.628279999999998</v>
      </c>
    </row>
    <row r="135" spans="1:19" ht="30">
      <c r="A135" s="246" t="s">
        <v>572</v>
      </c>
      <c r="B135" s="247">
        <v>6000386</v>
      </c>
      <c r="C135" s="153">
        <v>5794001</v>
      </c>
      <c r="D135" s="252" t="s">
        <v>765</v>
      </c>
      <c r="E135" s="153"/>
      <c r="F135" s="263">
        <v>550</v>
      </c>
      <c r="G135" s="263">
        <v>550</v>
      </c>
      <c r="H135" s="255">
        <f t="shared" si="14"/>
        <v>11628.279999999999</v>
      </c>
      <c r="I135" s="263">
        <v>9446.0499999999993</v>
      </c>
      <c r="J135" s="263">
        <f t="shared" si="11"/>
        <v>845.08</v>
      </c>
      <c r="K135" s="263">
        <f t="shared" si="12"/>
        <v>256.89999999999998</v>
      </c>
      <c r="L135" s="263">
        <v>1080.25</v>
      </c>
      <c r="M135" s="153"/>
      <c r="N135" s="252"/>
      <c r="O135" s="268">
        <f t="shared" si="15"/>
        <v>-11078.279999999999</v>
      </c>
      <c r="P135" s="252" t="s">
        <v>582</v>
      </c>
      <c r="Q135" s="252"/>
      <c r="R135" s="256">
        <f t="shared" si="13"/>
        <v>11.628279999999998</v>
      </c>
    </row>
    <row r="136" spans="1:19" ht="30">
      <c r="A136" s="246" t="s">
        <v>572</v>
      </c>
      <c r="B136" s="247">
        <v>6000386</v>
      </c>
      <c r="C136" s="153">
        <v>5807001</v>
      </c>
      <c r="D136" s="252" t="s">
        <v>766</v>
      </c>
      <c r="E136" s="153"/>
      <c r="F136" s="263">
        <v>550</v>
      </c>
      <c r="G136" s="263">
        <v>550</v>
      </c>
      <c r="H136" s="255">
        <f t="shared" si="14"/>
        <v>11628.279999999999</v>
      </c>
      <c r="I136" s="263">
        <v>9446.0499999999993</v>
      </c>
      <c r="J136" s="263">
        <f t="shared" si="11"/>
        <v>845.08</v>
      </c>
      <c r="K136" s="263">
        <f t="shared" si="12"/>
        <v>256.89999999999998</v>
      </c>
      <c r="L136" s="263">
        <v>1080.25</v>
      </c>
      <c r="M136" s="153"/>
      <c r="N136" s="252"/>
      <c r="O136" s="268">
        <f t="shared" si="15"/>
        <v>-11078.279999999999</v>
      </c>
      <c r="P136" s="252" t="s">
        <v>582</v>
      </c>
      <c r="Q136" s="252"/>
      <c r="R136" s="256">
        <f t="shared" si="13"/>
        <v>11.628279999999998</v>
      </c>
    </row>
    <row r="137" spans="1:19" ht="30">
      <c r="A137" s="246" t="s">
        <v>572</v>
      </c>
      <c r="B137" s="247">
        <v>6000386</v>
      </c>
      <c r="C137" s="153">
        <v>5744001</v>
      </c>
      <c r="D137" s="252" t="s">
        <v>767</v>
      </c>
      <c r="E137" s="153"/>
      <c r="F137" s="263">
        <v>550</v>
      </c>
      <c r="G137" s="263">
        <v>550</v>
      </c>
      <c r="H137" s="255">
        <f t="shared" si="14"/>
        <v>11628.279999999999</v>
      </c>
      <c r="I137" s="263">
        <v>9446.0499999999993</v>
      </c>
      <c r="J137" s="263">
        <f t="shared" si="11"/>
        <v>845.08</v>
      </c>
      <c r="K137" s="263">
        <f t="shared" si="12"/>
        <v>256.89999999999998</v>
      </c>
      <c r="L137" s="263">
        <v>1080.25</v>
      </c>
      <c r="M137" s="153"/>
      <c r="N137" s="252"/>
      <c r="O137" s="268">
        <f t="shared" si="15"/>
        <v>-11078.279999999999</v>
      </c>
      <c r="P137" s="252" t="s">
        <v>582</v>
      </c>
      <c r="Q137" s="252"/>
      <c r="R137" s="256">
        <f t="shared" si="13"/>
        <v>11.628279999999998</v>
      </c>
    </row>
    <row r="138" spans="1:19" ht="15" customHeight="1">
      <c r="A138" s="246" t="s">
        <v>572</v>
      </c>
      <c r="B138" s="247">
        <v>6000386</v>
      </c>
      <c r="C138" s="153">
        <v>5757001</v>
      </c>
      <c r="D138" s="252" t="s">
        <v>768</v>
      </c>
      <c r="E138" s="153"/>
      <c r="F138" s="263">
        <v>550</v>
      </c>
      <c r="G138" s="263">
        <v>550</v>
      </c>
      <c r="H138" s="255">
        <f t="shared" si="14"/>
        <v>13220.23</v>
      </c>
      <c r="I138" s="263">
        <v>11038</v>
      </c>
      <c r="J138" s="263">
        <f t="shared" si="11"/>
        <v>845.08</v>
      </c>
      <c r="K138" s="263">
        <f t="shared" si="12"/>
        <v>256.89999999999998</v>
      </c>
      <c r="L138" s="263">
        <v>1080.25</v>
      </c>
      <c r="M138" s="153"/>
      <c r="N138" s="252"/>
      <c r="O138" s="268">
        <f t="shared" si="15"/>
        <v>-12670.23</v>
      </c>
      <c r="P138" s="252" t="s">
        <v>755</v>
      </c>
      <c r="Q138" s="252"/>
      <c r="R138" s="256">
        <f t="shared" si="13"/>
        <v>13.220229999999999</v>
      </c>
    </row>
    <row r="139" spans="1:19" ht="15" customHeight="1">
      <c r="A139" s="246" t="s">
        <v>572</v>
      </c>
      <c r="B139" s="247">
        <v>6000386</v>
      </c>
      <c r="C139" s="153">
        <v>5748001</v>
      </c>
      <c r="D139" s="252" t="s">
        <v>769</v>
      </c>
      <c r="E139" s="153"/>
      <c r="F139" s="263">
        <v>550</v>
      </c>
      <c r="G139" s="263">
        <v>550</v>
      </c>
      <c r="H139" s="255">
        <f t="shared" si="14"/>
        <v>13220.23</v>
      </c>
      <c r="I139" s="263">
        <v>11038</v>
      </c>
      <c r="J139" s="263">
        <f t="shared" si="11"/>
        <v>845.08</v>
      </c>
      <c r="K139" s="263">
        <f t="shared" si="12"/>
        <v>256.89999999999998</v>
      </c>
      <c r="L139" s="263">
        <v>1080.25</v>
      </c>
      <c r="M139" s="153"/>
      <c r="N139" s="252"/>
      <c r="O139" s="268">
        <f t="shared" si="15"/>
        <v>-12670.23</v>
      </c>
      <c r="P139" s="252" t="s">
        <v>755</v>
      </c>
      <c r="Q139" s="252"/>
      <c r="R139" s="256">
        <f t="shared" si="13"/>
        <v>13.220229999999999</v>
      </c>
    </row>
    <row r="140" spans="1:19" ht="15" customHeight="1">
      <c r="A140" s="246" t="s">
        <v>572</v>
      </c>
      <c r="B140" s="247">
        <v>6000386</v>
      </c>
      <c r="C140" s="153">
        <v>5749001</v>
      </c>
      <c r="D140" s="252" t="s">
        <v>770</v>
      </c>
      <c r="E140" s="153"/>
      <c r="F140" s="263">
        <v>550</v>
      </c>
      <c r="G140" s="263">
        <v>550</v>
      </c>
      <c r="H140" s="255">
        <f t="shared" si="14"/>
        <v>13220.23</v>
      </c>
      <c r="I140" s="263">
        <v>11038</v>
      </c>
      <c r="J140" s="263">
        <f t="shared" si="11"/>
        <v>845.08</v>
      </c>
      <c r="K140" s="263">
        <f t="shared" si="12"/>
        <v>256.89999999999998</v>
      </c>
      <c r="L140" s="263">
        <v>1080.25</v>
      </c>
      <c r="M140" s="153"/>
      <c r="N140" s="252"/>
      <c r="O140" s="268">
        <f t="shared" si="15"/>
        <v>-12670.23</v>
      </c>
      <c r="P140" s="252" t="s">
        <v>755</v>
      </c>
      <c r="Q140" s="252"/>
      <c r="R140" s="256">
        <f t="shared" si="13"/>
        <v>13.220229999999999</v>
      </c>
    </row>
    <row r="141" spans="1:19" ht="15" customHeight="1">
      <c r="A141" s="246" t="s">
        <v>572</v>
      </c>
      <c r="B141" s="247">
        <v>6000386</v>
      </c>
      <c r="C141" s="153">
        <v>4914003</v>
      </c>
      <c r="D141" s="252" t="s">
        <v>771</v>
      </c>
      <c r="E141" s="153"/>
      <c r="F141" s="263">
        <v>550</v>
      </c>
      <c r="G141" s="263">
        <v>550</v>
      </c>
      <c r="H141" s="255">
        <f t="shared" si="14"/>
        <v>13220.23</v>
      </c>
      <c r="I141" s="263">
        <v>11038</v>
      </c>
      <c r="J141" s="263">
        <f t="shared" si="11"/>
        <v>845.08</v>
      </c>
      <c r="K141" s="263">
        <f t="shared" si="12"/>
        <v>256.89999999999998</v>
      </c>
      <c r="L141" s="263">
        <v>1080.25</v>
      </c>
      <c r="M141" s="153"/>
      <c r="N141" s="252"/>
      <c r="O141" s="268">
        <f t="shared" si="15"/>
        <v>-12670.23</v>
      </c>
      <c r="P141" s="252" t="s">
        <v>755</v>
      </c>
      <c r="Q141" s="252"/>
      <c r="R141" s="256">
        <f t="shared" si="13"/>
        <v>13.220229999999999</v>
      </c>
    </row>
    <row r="142" spans="1:19" ht="15" customHeight="1">
      <c r="A142" s="246" t="s">
        <v>572</v>
      </c>
      <c r="B142" s="247">
        <v>6000386</v>
      </c>
      <c r="C142" s="153">
        <v>5822001</v>
      </c>
      <c r="D142" s="252" t="s">
        <v>333</v>
      </c>
      <c r="E142" s="153"/>
      <c r="F142" s="263">
        <v>550</v>
      </c>
      <c r="G142" s="263">
        <v>550</v>
      </c>
      <c r="H142" s="255">
        <f t="shared" si="14"/>
        <v>13220.23</v>
      </c>
      <c r="I142" s="263">
        <v>11038</v>
      </c>
      <c r="J142" s="263">
        <f t="shared" si="11"/>
        <v>845.08</v>
      </c>
      <c r="K142" s="263">
        <f t="shared" si="12"/>
        <v>256.89999999999998</v>
      </c>
      <c r="L142" s="263">
        <v>1080.25</v>
      </c>
      <c r="M142" s="153"/>
      <c r="N142" s="252"/>
      <c r="O142" s="268">
        <f t="shared" si="15"/>
        <v>-12670.23</v>
      </c>
      <c r="P142" s="252" t="s">
        <v>755</v>
      </c>
      <c r="Q142" s="252"/>
      <c r="R142" s="256">
        <f t="shared" si="13"/>
        <v>13.220229999999999</v>
      </c>
    </row>
    <row r="143" spans="1:19" ht="15" customHeight="1">
      <c r="A143" s="246" t="s">
        <v>572</v>
      </c>
      <c r="B143" s="247">
        <v>6000386</v>
      </c>
      <c r="C143" s="153">
        <v>5796001</v>
      </c>
      <c r="D143" s="252" t="s">
        <v>772</v>
      </c>
      <c r="E143" s="153"/>
      <c r="F143" s="263">
        <v>550</v>
      </c>
      <c r="G143" s="263">
        <v>550</v>
      </c>
      <c r="H143" s="255">
        <f t="shared" si="14"/>
        <v>13220.23</v>
      </c>
      <c r="I143" s="263">
        <v>11038</v>
      </c>
      <c r="J143" s="263">
        <f t="shared" si="11"/>
        <v>845.08</v>
      </c>
      <c r="K143" s="263">
        <f t="shared" si="12"/>
        <v>256.89999999999998</v>
      </c>
      <c r="L143" s="263">
        <v>1080.25</v>
      </c>
      <c r="M143" s="153"/>
      <c r="N143" s="252"/>
      <c r="O143" s="268">
        <f t="shared" si="15"/>
        <v>-12670.23</v>
      </c>
      <c r="P143" s="252" t="s">
        <v>755</v>
      </c>
      <c r="Q143" s="252"/>
      <c r="R143" s="256">
        <f t="shared" si="13"/>
        <v>13.220229999999999</v>
      </c>
    </row>
    <row r="144" spans="1:19" ht="15" customHeight="1">
      <c r="A144" s="246" t="s">
        <v>572</v>
      </c>
      <c r="B144" s="247">
        <v>6000386</v>
      </c>
      <c r="C144" s="153">
        <v>5813001</v>
      </c>
      <c r="D144" s="252" t="s">
        <v>773</v>
      </c>
      <c r="E144" s="153"/>
      <c r="F144" s="263">
        <v>550</v>
      </c>
      <c r="G144" s="263">
        <v>550</v>
      </c>
      <c r="H144" s="255">
        <f t="shared" si="14"/>
        <v>13220.23</v>
      </c>
      <c r="I144" s="263">
        <v>11038</v>
      </c>
      <c r="J144" s="263">
        <f t="shared" si="11"/>
        <v>845.08</v>
      </c>
      <c r="K144" s="263">
        <f t="shared" si="12"/>
        <v>256.89999999999998</v>
      </c>
      <c r="L144" s="263">
        <v>1080.25</v>
      </c>
      <c r="M144" s="153"/>
      <c r="N144" s="252"/>
      <c r="O144" s="268">
        <f t="shared" si="15"/>
        <v>-12670.23</v>
      </c>
      <c r="P144" s="252" t="s">
        <v>755</v>
      </c>
      <c r="Q144" s="252"/>
      <c r="R144" s="256">
        <f t="shared" si="13"/>
        <v>13.220229999999999</v>
      </c>
    </row>
    <row r="145" spans="1:18" ht="15" customHeight="1">
      <c r="A145" s="246" t="s">
        <v>572</v>
      </c>
      <c r="B145" s="247">
        <v>6000386</v>
      </c>
      <c r="C145" s="153">
        <v>5792001</v>
      </c>
      <c r="D145" s="252" t="s">
        <v>774</v>
      </c>
      <c r="E145" s="153"/>
      <c r="F145" s="263">
        <v>550</v>
      </c>
      <c r="G145" s="263">
        <v>550</v>
      </c>
      <c r="H145" s="255">
        <f t="shared" si="14"/>
        <v>13220.23</v>
      </c>
      <c r="I145" s="263">
        <v>11038</v>
      </c>
      <c r="J145" s="263">
        <f t="shared" si="11"/>
        <v>845.08</v>
      </c>
      <c r="K145" s="263">
        <f t="shared" si="12"/>
        <v>256.89999999999998</v>
      </c>
      <c r="L145" s="263">
        <v>1080.25</v>
      </c>
      <c r="M145" s="153"/>
      <c r="N145" s="252"/>
      <c r="O145" s="268">
        <f t="shared" si="15"/>
        <v>-12670.23</v>
      </c>
      <c r="P145" s="252" t="s">
        <v>755</v>
      </c>
      <c r="Q145" s="252"/>
      <c r="R145" s="256">
        <f t="shared" si="13"/>
        <v>13.220229999999999</v>
      </c>
    </row>
    <row r="146" spans="1:18" ht="15" customHeight="1">
      <c r="A146" s="246" t="s">
        <v>572</v>
      </c>
      <c r="B146" s="247">
        <v>6000386</v>
      </c>
      <c r="C146" s="153">
        <v>5797001</v>
      </c>
      <c r="D146" s="252" t="s">
        <v>775</v>
      </c>
      <c r="E146" s="153"/>
      <c r="F146" s="263">
        <v>550</v>
      </c>
      <c r="G146" s="263">
        <v>550</v>
      </c>
      <c r="H146" s="255">
        <f t="shared" si="14"/>
        <v>13220.23</v>
      </c>
      <c r="I146" s="263">
        <v>11038</v>
      </c>
      <c r="J146" s="263">
        <f t="shared" si="11"/>
        <v>845.08</v>
      </c>
      <c r="K146" s="263">
        <f t="shared" si="12"/>
        <v>256.89999999999998</v>
      </c>
      <c r="L146" s="263">
        <v>1080.25</v>
      </c>
      <c r="M146" s="153"/>
      <c r="N146" s="252"/>
      <c r="O146" s="268">
        <f t="shared" si="15"/>
        <v>-12670.23</v>
      </c>
      <c r="P146" s="252" t="s">
        <v>755</v>
      </c>
      <c r="Q146" s="252"/>
      <c r="R146" s="256">
        <f t="shared" si="13"/>
        <v>13.220229999999999</v>
      </c>
    </row>
    <row r="147" spans="1:18" ht="15" customHeight="1">
      <c r="A147" s="246" t="s">
        <v>572</v>
      </c>
      <c r="B147" s="247">
        <v>6000386</v>
      </c>
      <c r="C147" s="153">
        <v>5805001</v>
      </c>
      <c r="D147" s="252" t="s">
        <v>776</v>
      </c>
      <c r="E147" s="153"/>
      <c r="F147" s="263">
        <v>550</v>
      </c>
      <c r="G147" s="263">
        <v>550</v>
      </c>
      <c r="H147" s="255">
        <f t="shared" si="14"/>
        <v>13220.23</v>
      </c>
      <c r="I147" s="263">
        <v>11038</v>
      </c>
      <c r="J147" s="263">
        <f t="shared" si="11"/>
        <v>845.08</v>
      </c>
      <c r="K147" s="263">
        <f t="shared" si="12"/>
        <v>256.89999999999998</v>
      </c>
      <c r="L147" s="263">
        <v>1080.25</v>
      </c>
      <c r="M147" s="153"/>
      <c r="N147" s="252"/>
      <c r="O147" s="268">
        <f t="shared" si="15"/>
        <v>-12670.23</v>
      </c>
      <c r="P147" s="252" t="s">
        <v>755</v>
      </c>
      <c r="Q147" s="252"/>
      <c r="R147" s="256">
        <f t="shared" si="13"/>
        <v>13.220229999999999</v>
      </c>
    </row>
    <row r="148" spans="1:18" ht="15" customHeight="1">
      <c r="A148" s="246" t="s">
        <v>572</v>
      </c>
      <c r="B148" s="247">
        <v>6000386</v>
      </c>
      <c r="C148" s="153">
        <v>5720001</v>
      </c>
      <c r="D148" s="252" t="s">
        <v>777</v>
      </c>
      <c r="E148" s="153"/>
      <c r="F148" s="263">
        <v>550</v>
      </c>
      <c r="G148" s="263">
        <v>0</v>
      </c>
      <c r="H148" s="255">
        <f t="shared" si="14"/>
        <v>13220.23</v>
      </c>
      <c r="I148" s="263">
        <v>11038</v>
      </c>
      <c r="J148" s="263">
        <f t="shared" si="11"/>
        <v>845.08</v>
      </c>
      <c r="K148" s="263">
        <f t="shared" si="12"/>
        <v>256.89999999999998</v>
      </c>
      <c r="L148" s="263">
        <v>1080.25</v>
      </c>
      <c r="M148" s="153"/>
      <c r="N148" s="252"/>
      <c r="O148" s="268">
        <f t="shared" si="15"/>
        <v>-13220.23</v>
      </c>
      <c r="P148" s="252" t="s">
        <v>755</v>
      </c>
      <c r="Q148" s="252"/>
      <c r="R148" s="256">
        <f t="shared" si="13"/>
        <v>13.220229999999999</v>
      </c>
    </row>
    <row r="149" spans="1:18" ht="15" customHeight="1">
      <c r="A149" s="246" t="s">
        <v>572</v>
      </c>
      <c r="B149" s="247">
        <v>6000386</v>
      </c>
      <c r="C149" s="153">
        <v>5804001</v>
      </c>
      <c r="D149" s="252" t="s">
        <v>778</v>
      </c>
      <c r="E149" s="153"/>
      <c r="F149" s="263">
        <v>550</v>
      </c>
      <c r="G149" s="263">
        <v>550</v>
      </c>
      <c r="H149" s="255">
        <f t="shared" si="14"/>
        <v>13220.23</v>
      </c>
      <c r="I149" s="263">
        <v>11038</v>
      </c>
      <c r="J149" s="263">
        <f t="shared" si="11"/>
        <v>845.08</v>
      </c>
      <c r="K149" s="263">
        <f t="shared" si="12"/>
        <v>256.89999999999998</v>
      </c>
      <c r="L149" s="263">
        <v>1080.25</v>
      </c>
      <c r="M149" s="153"/>
      <c r="N149" s="252"/>
      <c r="O149" s="268">
        <f t="shared" si="15"/>
        <v>-12670.23</v>
      </c>
      <c r="P149" s="252" t="s">
        <v>755</v>
      </c>
      <c r="Q149" s="252"/>
      <c r="R149" s="256">
        <f t="shared" si="13"/>
        <v>13.220229999999999</v>
      </c>
    </row>
    <row r="150" spans="1:18" ht="15" customHeight="1">
      <c r="A150" s="246" t="s">
        <v>572</v>
      </c>
      <c r="B150" s="247">
        <v>6000386</v>
      </c>
      <c r="C150" s="153">
        <v>5800001</v>
      </c>
      <c r="D150" s="252" t="s">
        <v>779</v>
      </c>
      <c r="E150" s="153"/>
      <c r="F150" s="263">
        <v>550</v>
      </c>
      <c r="G150" s="263">
        <v>550</v>
      </c>
      <c r="H150" s="255">
        <f t="shared" si="14"/>
        <v>13220.23</v>
      </c>
      <c r="I150" s="263">
        <v>11038</v>
      </c>
      <c r="J150" s="263">
        <f t="shared" si="11"/>
        <v>845.08</v>
      </c>
      <c r="K150" s="263">
        <f t="shared" si="12"/>
        <v>256.89999999999998</v>
      </c>
      <c r="L150" s="263">
        <v>1080.25</v>
      </c>
      <c r="M150" s="153"/>
      <c r="N150" s="252"/>
      <c r="O150" s="268">
        <f t="shared" si="15"/>
        <v>-12670.23</v>
      </c>
      <c r="P150" s="252" t="s">
        <v>755</v>
      </c>
      <c r="Q150" s="252"/>
      <c r="R150" s="256">
        <f t="shared" si="13"/>
        <v>13.220229999999999</v>
      </c>
    </row>
    <row r="151" spans="1:18" ht="30">
      <c r="A151" s="246" t="s">
        <v>572</v>
      </c>
      <c r="B151" s="247">
        <v>6000386</v>
      </c>
      <c r="C151" s="153">
        <v>5698001</v>
      </c>
      <c r="D151" s="252" t="s">
        <v>780</v>
      </c>
      <c r="E151" s="153"/>
      <c r="F151" s="263">
        <v>47103.519999999997</v>
      </c>
      <c r="G151" s="263">
        <v>47103.519999999997</v>
      </c>
      <c r="H151" s="255">
        <f t="shared" si="14"/>
        <v>15642.53</v>
      </c>
      <c r="I151" s="263">
        <v>13454</v>
      </c>
      <c r="J151" s="263">
        <f t="shared" ref="J151:J156" si="16">828.33+317.28</f>
        <v>1145.6100000000001</v>
      </c>
      <c r="K151" s="263">
        <f t="shared" ref="K151:K156" si="17">251.81+96.45</f>
        <v>348.26</v>
      </c>
      <c r="L151" s="263">
        <v>694.66</v>
      </c>
      <c r="M151" s="153"/>
      <c r="N151" s="252"/>
      <c r="O151" s="268">
        <f t="shared" si="15"/>
        <v>31460.989999999998</v>
      </c>
      <c r="P151" s="252" t="s">
        <v>738</v>
      </c>
      <c r="Q151" s="252" t="s">
        <v>781</v>
      </c>
    </row>
    <row r="152" spans="1:18" ht="30">
      <c r="A152" s="246" t="s">
        <v>572</v>
      </c>
      <c r="B152" s="247">
        <v>6000386</v>
      </c>
      <c r="C152" s="153">
        <v>5696001</v>
      </c>
      <c r="D152" s="252" t="s">
        <v>421</v>
      </c>
      <c r="E152" s="153"/>
      <c r="F152" s="263">
        <v>550</v>
      </c>
      <c r="G152" s="263">
        <v>550</v>
      </c>
      <c r="H152" s="255">
        <f t="shared" si="14"/>
        <v>15642.53</v>
      </c>
      <c r="I152" s="263">
        <v>13454</v>
      </c>
      <c r="J152" s="263">
        <f t="shared" si="16"/>
        <v>1145.6100000000001</v>
      </c>
      <c r="K152" s="263">
        <f t="shared" si="17"/>
        <v>348.26</v>
      </c>
      <c r="L152" s="263">
        <v>694.66</v>
      </c>
      <c r="M152" s="153"/>
      <c r="N152" s="252"/>
      <c r="O152" s="268">
        <f t="shared" si="15"/>
        <v>-15092.53</v>
      </c>
      <c r="P152" s="252" t="s">
        <v>738</v>
      </c>
      <c r="Q152" s="252" t="s">
        <v>782</v>
      </c>
      <c r="R152" s="256">
        <f t="shared" ref="R152:R154" si="18">H152/1000</f>
        <v>15.642530000000001</v>
      </c>
    </row>
    <row r="153" spans="1:18" ht="30">
      <c r="A153" s="246" t="s">
        <v>572</v>
      </c>
      <c r="B153" s="247">
        <v>6000386</v>
      </c>
      <c r="C153" s="153">
        <v>2302001</v>
      </c>
      <c r="D153" s="252" t="s">
        <v>783</v>
      </c>
      <c r="E153" s="153"/>
      <c r="F153" s="263">
        <v>550</v>
      </c>
      <c r="G153" s="263">
        <v>550</v>
      </c>
      <c r="H153" s="255">
        <f t="shared" si="14"/>
        <v>15642.53</v>
      </c>
      <c r="I153" s="263">
        <v>13454</v>
      </c>
      <c r="J153" s="263">
        <f t="shared" si="16"/>
        <v>1145.6100000000001</v>
      </c>
      <c r="K153" s="263">
        <f t="shared" si="17"/>
        <v>348.26</v>
      </c>
      <c r="L153" s="263">
        <v>694.66</v>
      </c>
      <c r="M153" s="153"/>
      <c r="N153" s="252"/>
      <c r="O153" s="268">
        <f t="shared" si="15"/>
        <v>-15092.53</v>
      </c>
      <c r="P153" s="252" t="s">
        <v>738</v>
      </c>
      <c r="Q153" s="252" t="s">
        <v>784</v>
      </c>
      <c r="R153" s="256">
        <f t="shared" si="18"/>
        <v>15.642530000000001</v>
      </c>
    </row>
    <row r="154" spans="1:18" ht="30">
      <c r="A154" s="246" t="s">
        <v>572</v>
      </c>
      <c r="B154" s="247">
        <v>6000386</v>
      </c>
      <c r="C154" s="153">
        <v>1994015</v>
      </c>
      <c r="D154" s="252" t="s">
        <v>734</v>
      </c>
      <c r="E154" s="153"/>
      <c r="F154" s="263">
        <v>550</v>
      </c>
      <c r="G154" s="263">
        <v>550</v>
      </c>
      <c r="H154" s="255">
        <f t="shared" si="14"/>
        <v>15642.53</v>
      </c>
      <c r="I154" s="263">
        <v>13454</v>
      </c>
      <c r="J154" s="263">
        <f t="shared" si="16"/>
        <v>1145.6100000000001</v>
      </c>
      <c r="K154" s="263">
        <f t="shared" si="17"/>
        <v>348.26</v>
      </c>
      <c r="L154" s="263">
        <v>694.66</v>
      </c>
      <c r="M154" s="153"/>
      <c r="N154" s="252"/>
      <c r="O154" s="268">
        <f t="shared" si="15"/>
        <v>-15092.53</v>
      </c>
      <c r="P154" s="252" t="s">
        <v>738</v>
      </c>
      <c r="Q154" s="252" t="s">
        <v>785</v>
      </c>
      <c r="R154" s="256">
        <f t="shared" si="18"/>
        <v>15.642530000000001</v>
      </c>
    </row>
    <row r="155" spans="1:18" ht="15" customHeight="1">
      <c r="A155" s="246" t="s">
        <v>572</v>
      </c>
      <c r="B155" s="247">
        <v>6000386</v>
      </c>
      <c r="C155" s="153">
        <v>5803003</v>
      </c>
      <c r="D155" s="252" t="s">
        <v>786</v>
      </c>
      <c r="E155" s="153"/>
      <c r="F155" s="263">
        <v>45947.45</v>
      </c>
      <c r="G155" s="263">
        <v>45947.45</v>
      </c>
      <c r="H155" s="255">
        <f t="shared" si="14"/>
        <v>6151.63</v>
      </c>
      <c r="I155" s="263">
        <v>3963.1</v>
      </c>
      <c r="J155" s="263">
        <f t="shared" si="16"/>
        <v>1145.6100000000001</v>
      </c>
      <c r="K155" s="263">
        <f t="shared" si="17"/>
        <v>348.26</v>
      </c>
      <c r="L155" s="263">
        <v>694.66</v>
      </c>
      <c r="M155" s="153"/>
      <c r="N155" s="252"/>
      <c r="O155" s="268">
        <f t="shared" si="15"/>
        <v>39795.82</v>
      </c>
      <c r="P155" s="252" t="s">
        <v>601</v>
      </c>
      <c r="Q155" s="252" t="s">
        <v>787</v>
      </c>
    </row>
    <row r="156" spans="1:18" ht="15" customHeight="1">
      <c r="A156" s="246" t="s">
        <v>572</v>
      </c>
      <c r="B156" s="247">
        <v>6000386</v>
      </c>
      <c r="C156" s="153">
        <v>5802002</v>
      </c>
      <c r="D156" s="252" t="s">
        <v>788</v>
      </c>
      <c r="E156" s="153"/>
      <c r="F156" s="263">
        <v>550</v>
      </c>
      <c r="G156" s="263">
        <v>550</v>
      </c>
      <c r="H156" s="255">
        <f t="shared" si="14"/>
        <v>8552.15</v>
      </c>
      <c r="I156" s="263">
        <v>6363.62</v>
      </c>
      <c r="J156" s="263">
        <f t="shared" si="16"/>
        <v>1145.6100000000001</v>
      </c>
      <c r="K156" s="263">
        <f t="shared" si="17"/>
        <v>348.26</v>
      </c>
      <c r="L156" s="263">
        <v>694.66</v>
      </c>
      <c r="M156" s="153"/>
      <c r="N156" s="252"/>
      <c r="O156" s="268">
        <f t="shared" si="15"/>
        <v>-8002.15</v>
      </c>
      <c r="P156" s="252" t="s">
        <v>789</v>
      </c>
      <c r="Q156" s="252" t="s">
        <v>790</v>
      </c>
      <c r="R156" s="256">
        <f t="shared" ref="R156:R157" si="19">H156/1000</f>
        <v>8.5521499999999993</v>
      </c>
    </row>
    <row r="157" spans="1:18" ht="15" customHeight="1">
      <c r="A157" s="246" t="s">
        <v>572</v>
      </c>
      <c r="B157" s="247">
        <v>6000386</v>
      </c>
      <c r="C157" s="153">
        <v>2180003</v>
      </c>
      <c r="D157" s="252" t="s">
        <v>791</v>
      </c>
      <c r="E157" s="153"/>
      <c r="F157" s="263">
        <v>550</v>
      </c>
      <c r="G157" s="263">
        <v>550</v>
      </c>
      <c r="H157" s="255">
        <f t="shared" si="14"/>
        <v>13434.87</v>
      </c>
      <c r="I157" s="263">
        <v>9697.09</v>
      </c>
      <c r="J157" s="263">
        <f>1699.13+634.55</f>
        <v>2333.6800000000003</v>
      </c>
      <c r="K157" s="263">
        <f>516.54+192.9</f>
        <v>709.43999999999994</v>
      </c>
      <c r="L157" s="263">
        <v>694.66</v>
      </c>
      <c r="M157" s="153"/>
      <c r="N157" s="252"/>
      <c r="O157" s="268">
        <f t="shared" si="15"/>
        <v>-12884.87</v>
      </c>
      <c r="P157" s="252" t="s">
        <v>789</v>
      </c>
      <c r="Q157" s="252" t="s">
        <v>792</v>
      </c>
      <c r="R157" s="256">
        <f t="shared" si="19"/>
        <v>13.43487</v>
      </c>
    </row>
    <row r="158" spans="1:18" ht="15" customHeight="1">
      <c r="A158" s="246" t="s">
        <v>572</v>
      </c>
      <c r="B158" s="247">
        <v>6000386</v>
      </c>
      <c r="C158" s="153">
        <v>5735001</v>
      </c>
      <c r="D158" s="252" t="s">
        <v>793</v>
      </c>
      <c r="E158" s="153"/>
      <c r="F158" s="263">
        <v>45947.45</v>
      </c>
      <c r="G158" s="263">
        <v>45947.45</v>
      </c>
      <c r="H158" s="255">
        <f t="shared" si="14"/>
        <v>18565.519999999997</v>
      </c>
      <c r="I158" s="263">
        <v>14827.74</v>
      </c>
      <c r="J158" s="263">
        <f>1699.13+634.55</f>
        <v>2333.6800000000003</v>
      </c>
      <c r="K158" s="263">
        <f>516.54+192.9</f>
        <v>709.43999999999994</v>
      </c>
      <c r="L158" s="263">
        <v>694.66</v>
      </c>
      <c r="M158" s="153"/>
      <c r="N158" s="252"/>
      <c r="O158" s="268">
        <f t="shared" si="15"/>
        <v>27381.93</v>
      </c>
      <c r="P158" s="252" t="s">
        <v>794</v>
      </c>
      <c r="Q158" s="252" t="s">
        <v>795</v>
      </c>
    </row>
    <row r="159" spans="1:18" ht="15" customHeight="1">
      <c r="A159" s="246" t="s">
        <v>572</v>
      </c>
      <c r="B159" s="247">
        <v>6000386</v>
      </c>
      <c r="C159" s="153">
        <v>5717001</v>
      </c>
      <c r="D159" s="252" t="s">
        <v>796</v>
      </c>
      <c r="E159" s="153"/>
      <c r="F159" s="263">
        <v>550</v>
      </c>
      <c r="G159" s="263">
        <v>550</v>
      </c>
      <c r="H159" s="255">
        <f t="shared" si="14"/>
        <v>13677.79</v>
      </c>
      <c r="I159" s="263">
        <v>9940.01</v>
      </c>
      <c r="J159" s="263">
        <f>1699.13+634.55</f>
        <v>2333.6800000000003</v>
      </c>
      <c r="K159" s="263">
        <f>516.54+192.9</f>
        <v>709.43999999999994</v>
      </c>
      <c r="L159" s="263">
        <v>694.66</v>
      </c>
      <c r="M159" s="153"/>
      <c r="N159" s="252"/>
      <c r="O159" s="268">
        <f t="shared" si="15"/>
        <v>-13127.79</v>
      </c>
      <c r="P159" s="252" t="s">
        <v>789</v>
      </c>
      <c r="Q159" s="252" t="s">
        <v>797</v>
      </c>
      <c r="R159" s="256">
        <f>H159/1000</f>
        <v>13.677790000000002</v>
      </c>
    </row>
    <row r="160" spans="1:18" ht="15" customHeight="1">
      <c r="A160" s="246" t="s">
        <v>572</v>
      </c>
      <c r="B160" s="247">
        <v>6000386</v>
      </c>
      <c r="C160" s="153">
        <v>5369001</v>
      </c>
      <c r="D160" s="252" t="s">
        <v>403</v>
      </c>
      <c r="E160" s="153"/>
      <c r="F160" s="263">
        <v>60362.82</v>
      </c>
      <c r="G160" s="263">
        <v>60362.82</v>
      </c>
      <c r="H160" s="255">
        <f t="shared" si="14"/>
        <v>23840.86</v>
      </c>
      <c r="I160" s="263">
        <v>20103.080000000002</v>
      </c>
      <c r="J160" s="263">
        <f>1699.13+634.55</f>
        <v>2333.6800000000003</v>
      </c>
      <c r="K160" s="263">
        <f>516.54+192.9</f>
        <v>709.43999999999994</v>
      </c>
      <c r="L160" s="263">
        <v>694.66</v>
      </c>
      <c r="M160" s="153"/>
      <c r="N160" s="252"/>
      <c r="O160" s="268">
        <f t="shared" si="15"/>
        <v>36521.96</v>
      </c>
      <c r="P160" s="252" t="s">
        <v>724</v>
      </c>
      <c r="Q160" s="252" t="s">
        <v>798</v>
      </c>
    </row>
    <row r="161" spans="1:18" ht="30">
      <c r="A161" s="246" t="s">
        <v>572</v>
      </c>
      <c r="B161" s="247">
        <v>6000386</v>
      </c>
      <c r="C161" s="153">
        <v>2957004</v>
      </c>
      <c r="D161" s="252" t="s">
        <v>799</v>
      </c>
      <c r="E161" s="153"/>
      <c r="F161" s="263">
        <v>550</v>
      </c>
      <c r="G161" s="263">
        <v>550</v>
      </c>
      <c r="H161" s="255">
        <f t="shared" si="14"/>
        <v>12072.25</v>
      </c>
      <c r="I161" s="263">
        <v>9890.09</v>
      </c>
      <c r="J161" s="263">
        <f>511.15+332.51</f>
        <v>843.66</v>
      </c>
      <c r="K161" s="263">
        <f>155.39+101.08</f>
        <v>256.46999999999997</v>
      </c>
      <c r="L161" s="263">
        <v>1082.03</v>
      </c>
      <c r="M161" s="153"/>
      <c r="N161" s="252"/>
      <c r="O161" s="268">
        <f t="shared" si="15"/>
        <v>-11522.25</v>
      </c>
      <c r="P161" s="252" t="s">
        <v>582</v>
      </c>
      <c r="Q161" s="252"/>
      <c r="R161" s="256">
        <f t="shared" ref="R161:R200" si="20">H161/1000</f>
        <v>12.07225</v>
      </c>
    </row>
    <row r="162" spans="1:18" ht="30">
      <c r="A162" s="246" t="s">
        <v>572</v>
      </c>
      <c r="B162" s="247">
        <v>6000386</v>
      </c>
      <c r="C162" s="153">
        <v>991005</v>
      </c>
      <c r="D162" s="252" t="s">
        <v>800</v>
      </c>
      <c r="E162" s="153"/>
      <c r="F162" s="263">
        <v>550</v>
      </c>
      <c r="G162" s="263">
        <v>550</v>
      </c>
      <c r="H162" s="255">
        <f t="shared" si="14"/>
        <v>12072.25</v>
      </c>
      <c r="I162" s="263">
        <v>9890.09</v>
      </c>
      <c r="J162" s="263">
        <f>511.15+332.51</f>
        <v>843.66</v>
      </c>
      <c r="K162" s="263">
        <f>155.39+101.08</f>
        <v>256.46999999999997</v>
      </c>
      <c r="L162" s="263">
        <v>1082.03</v>
      </c>
      <c r="M162" s="153"/>
      <c r="N162" s="252"/>
      <c r="O162" s="268">
        <f t="shared" si="15"/>
        <v>-11522.25</v>
      </c>
      <c r="P162" s="252" t="s">
        <v>582</v>
      </c>
      <c r="Q162" s="252"/>
      <c r="R162" s="256">
        <f t="shared" si="20"/>
        <v>12.07225</v>
      </c>
    </row>
    <row r="163" spans="1:18" ht="15" customHeight="1">
      <c r="A163" s="246" t="s">
        <v>572</v>
      </c>
      <c r="B163" s="247">
        <v>6000386</v>
      </c>
      <c r="C163" s="153">
        <v>5849002</v>
      </c>
      <c r="D163" s="252" t="s">
        <v>801</v>
      </c>
      <c r="E163" s="153"/>
      <c r="F163" s="263">
        <v>550</v>
      </c>
      <c r="G163" s="263">
        <v>550</v>
      </c>
      <c r="H163" s="255">
        <f t="shared" si="14"/>
        <v>13664.21</v>
      </c>
      <c r="I163" s="263">
        <v>11482.05</v>
      </c>
      <c r="J163" s="263">
        <f>511.15+332.51</f>
        <v>843.66</v>
      </c>
      <c r="K163" s="263">
        <f>155.39+101.08</f>
        <v>256.46999999999997</v>
      </c>
      <c r="L163" s="263">
        <v>1082.03</v>
      </c>
      <c r="M163" s="153"/>
      <c r="N163" s="252"/>
      <c r="O163" s="268">
        <f t="shared" si="15"/>
        <v>-13114.21</v>
      </c>
      <c r="P163" s="252" t="s">
        <v>755</v>
      </c>
      <c r="Q163" s="252"/>
      <c r="R163" s="256">
        <f t="shared" si="20"/>
        <v>13.664209999999999</v>
      </c>
    </row>
    <row r="164" spans="1:18" ht="15" customHeight="1">
      <c r="A164" s="246" t="s">
        <v>572</v>
      </c>
      <c r="B164" s="247">
        <v>6000386</v>
      </c>
      <c r="C164" s="153">
        <v>4448002</v>
      </c>
      <c r="D164" s="252" t="s">
        <v>802</v>
      </c>
      <c r="E164" s="153"/>
      <c r="F164" s="263">
        <v>550</v>
      </c>
      <c r="G164" s="263">
        <v>550</v>
      </c>
      <c r="H164" s="255">
        <f t="shared" si="14"/>
        <v>13220.16</v>
      </c>
      <c r="I164" s="263">
        <v>11038</v>
      </c>
      <c r="J164" s="263">
        <f>511.15+332.51</f>
        <v>843.66</v>
      </c>
      <c r="K164" s="263">
        <f>155.39+101.08</f>
        <v>256.46999999999997</v>
      </c>
      <c r="L164" s="263">
        <v>1082.03</v>
      </c>
      <c r="M164" s="153"/>
      <c r="N164" s="252"/>
      <c r="O164" s="268">
        <f t="shared" si="15"/>
        <v>-12670.16</v>
      </c>
      <c r="P164" s="252" t="s">
        <v>755</v>
      </c>
      <c r="Q164" s="252"/>
      <c r="R164" s="256">
        <f t="shared" si="20"/>
        <v>13.22016</v>
      </c>
    </row>
    <row r="165" spans="1:18" ht="15" customHeight="1">
      <c r="A165" s="246" t="s">
        <v>572</v>
      </c>
      <c r="B165" s="247">
        <v>6000386</v>
      </c>
      <c r="C165" s="153">
        <v>4126004</v>
      </c>
      <c r="D165" s="252" t="s">
        <v>803</v>
      </c>
      <c r="E165" s="153"/>
      <c r="F165" s="263">
        <v>550</v>
      </c>
      <c r="G165" s="263">
        <v>550</v>
      </c>
      <c r="H165" s="255">
        <f t="shared" si="14"/>
        <v>13220.16</v>
      </c>
      <c r="I165" s="263">
        <v>11038</v>
      </c>
      <c r="J165" s="263">
        <f>511.15+332.51</f>
        <v>843.66</v>
      </c>
      <c r="K165" s="263">
        <f>155.39+101.08</f>
        <v>256.46999999999997</v>
      </c>
      <c r="L165" s="263">
        <v>1082.03</v>
      </c>
      <c r="M165" s="153"/>
      <c r="N165" s="252"/>
      <c r="O165" s="268">
        <f t="shared" si="15"/>
        <v>-12670.16</v>
      </c>
      <c r="P165" s="252" t="s">
        <v>755</v>
      </c>
      <c r="Q165" s="252"/>
      <c r="R165" s="256">
        <f t="shared" si="20"/>
        <v>13.22016</v>
      </c>
    </row>
    <row r="166" spans="1:18" ht="15" customHeight="1">
      <c r="A166" s="246" t="s">
        <v>572</v>
      </c>
      <c r="B166" s="247">
        <v>6000386</v>
      </c>
      <c r="C166" s="153">
        <v>5811001</v>
      </c>
      <c r="D166" s="252" t="s">
        <v>804</v>
      </c>
      <c r="E166" s="153"/>
      <c r="F166" s="263">
        <v>550</v>
      </c>
      <c r="G166" s="263">
        <v>550</v>
      </c>
      <c r="H166" s="255">
        <f t="shared" si="14"/>
        <v>13220.16</v>
      </c>
      <c r="I166" s="263">
        <v>11038</v>
      </c>
      <c r="J166" s="263">
        <f t="shared" ref="J166:J200" si="21">511.15+332.51</f>
        <v>843.66</v>
      </c>
      <c r="K166" s="263">
        <f t="shared" ref="K166:K200" si="22">155.39+101.08</f>
        <v>256.46999999999997</v>
      </c>
      <c r="L166" s="263">
        <v>1082.03</v>
      </c>
      <c r="M166" s="153"/>
      <c r="N166" s="252"/>
      <c r="O166" s="268">
        <f t="shared" si="15"/>
        <v>-12670.16</v>
      </c>
      <c r="P166" s="252" t="s">
        <v>755</v>
      </c>
      <c r="Q166" s="252"/>
      <c r="R166" s="256">
        <f t="shared" si="20"/>
        <v>13.22016</v>
      </c>
    </row>
    <row r="167" spans="1:18" ht="15" customHeight="1">
      <c r="A167" s="246" t="s">
        <v>572</v>
      </c>
      <c r="B167" s="247">
        <v>6000386</v>
      </c>
      <c r="C167" s="153">
        <v>5810001</v>
      </c>
      <c r="D167" s="252" t="s">
        <v>805</v>
      </c>
      <c r="E167" s="153"/>
      <c r="F167" s="263">
        <v>550</v>
      </c>
      <c r="G167" s="263">
        <v>550</v>
      </c>
      <c r="H167" s="255">
        <f t="shared" si="14"/>
        <v>13220.16</v>
      </c>
      <c r="I167" s="263">
        <v>11038</v>
      </c>
      <c r="J167" s="263">
        <f t="shared" si="21"/>
        <v>843.66</v>
      </c>
      <c r="K167" s="263">
        <f t="shared" si="22"/>
        <v>256.46999999999997</v>
      </c>
      <c r="L167" s="263">
        <v>1082.03</v>
      </c>
      <c r="M167" s="153"/>
      <c r="N167" s="252"/>
      <c r="O167" s="268">
        <f t="shared" si="15"/>
        <v>-12670.16</v>
      </c>
      <c r="P167" s="252" t="s">
        <v>755</v>
      </c>
      <c r="Q167" s="252"/>
      <c r="R167" s="256">
        <f t="shared" si="20"/>
        <v>13.22016</v>
      </c>
    </row>
    <row r="168" spans="1:18" ht="15" customHeight="1">
      <c r="A168" s="246" t="s">
        <v>572</v>
      </c>
      <c r="B168" s="247">
        <v>6000386</v>
      </c>
      <c r="C168" s="153">
        <v>5751001</v>
      </c>
      <c r="D168" s="252" t="s">
        <v>806</v>
      </c>
      <c r="E168" s="153"/>
      <c r="F168" s="263">
        <v>550</v>
      </c>
      <c r="G168" s="263">
        <v>550</v>
      </c>
      <c r="H168" s="255">
        <f t="shared" si="14"/>
        <v>13220.16</v>
      </c>
      <c r="I168" s="263">
        <v>11038</v>
      </c>
      <c r="J168" s="263">
        <f t="shared" si="21"/>
        <v>843.66</v>
      </c>
      <c r="K168" s="263">
        <f t="shared" si="22"/>
        <v>256.46999999999997</v>
      </c>
      <c r="L168" s="263">
        <v>1082.03</v>
      </c>
      <c r="M168" s="153"/>
      <c r="N168" s="252"/>
      <c r="O168" s="268">
        <f t="shared" si="15"/>
        <v>-12670.16</v>
      </c>
      <c r="P168" s="252" t="s">
        <v>755</v>
      </c>
      <c r="Q168" s="252"/>
      <c r="R168" s="256">
        <f t="shared" si="20"/>
        <v>13.22016</v>
      </c>
    </row>
    <row r="169" spans="1:18" ht="15" customHeight="1">
      <c r="A169" s="246" t="s">
        <v>572</v>
      </c>
      <c r="B169" s="247">
        <v>6000386</v>
      </c>
      <c r="C169" s="153">
        <v>5435002</v>
      </c>
      <c r="D169" s="252" t="s">
        <v>272</v>
      </c>
      <c r="E169" s="153"/>
      <c r="F169" s="263">
        <v>550</v>
      </c>
      <c r="G169" s="263">
        <v>550</v>
      </c>
      <c r="H169" s="255">
        <f t="shared" si="14"/>
        <v>13220.16</v>
      </c>
      <c r="I169" s="263">
        <v>11038</v>
      </c>
      <c r="J169" s="263">
        <f t="shared" si="21"/>
        <v>843.66</v>
      </c>
      <c r="K169" s="263">
        <f t="shared" si="22"/>
        <v>256.46999999999997</v>
      </c>
      <c r="L169" s="263">
        <v>1082.03</v>
      </c>
      <c r="M169" s="153"/>
      <c r="N169" s="252"/>
      <c r="O169" s="268">
        <f t="shared" si="15"/>
        <v>-12670.16</v>
      </c>
      <c r="P169" s="252" t="s">
        <v>755</v>
      </c>
      <c r="Q169" s="252"/>
      <c r="R169" s="256">
        <f t="shared" si="20"/>
        <v>13.22016</v>
      </c>
    </row>
    <row r="170" spans="1:18" ht="15" customHeight="1">
      <c r="A170" s="246" t="s">
        <v>572</v>
      </c>
      <c r="B170" s="247">
        <v>6000386</v>
      </c>
      <c r="C170" s="153">
        <v>5837001</v>
      </c>
      <c r="D170" s="252" t="s">
        <v>807</v>
      </c>
      <c r="E170" s="153"/>
      <c r="F170" s="263">
        <v>550</v>
      </c>
      <c r="G170" s="263">
        <v>550</v>
      </c>
      <c r="H170" s="255">
        <f t="shared" si="14"/>
        <v>13220.16</v>
      </c>
      <c r="I170" s="263">
        <v>11038</v>
      </c>
      <c r="J170" s="263">
        <f t="shared" si="21"/>
        <v>843.66</v>
      </c>
      <c r="K170" s="263">
        <f t="shared" si="22"/>
        <v>256.46999999999997</v>
      </c>
      <c r="L170" s="263">
        <v>1082.03</v>
      </c>
      <c r="M170" s="153"/>
      <c r="N170" s="252"/>
      <c r="O170" s="268">
        <f t="shared" si="15"/>
        <v>-12670.16</v>
      </c>
      <c r="P170" s="252" t="s">
        <v>755</v>
      </c>
      <c r="Q170" s="252"/>
      <c r="R170" s="256">
        <f t="shared" si="20"/>
        <v>13.22016</v>
      </c>
    </row>
    <row r="171" spans="1:18" ht="15" customHeight="1">
      <c r="A171" s="246" t="s">
        <v>572</v>
      </c>
      <c r="B171" s="247">
        <v>6000386</v>
      </c>
      <c r="C171" s="153">
        <v>5814001</v>
      </c>
      <c r="D171" s="252" t="s">
        <v>709</v>
      </c>
      <c r="E171" s="153"/>
      <c r="F171" s="263">
        <v>550</v>
      </c>
      <c r="G171" s="263">
        <v>550</v>
      </c>
      <c r="H171" s="255">
        <f t="shared" si="14"/>
        <v>13220.16</v>
      </c>
      <c r="I171" s="263">
        <v>11038</v>
      </c>
      <c r="J171" s="263">
        <f t="shared" si="21"/>
        <v>843.66</v>
      </c>
      <c r="K171" s="263">
        <f t="shared" si="22"/>
        <v>256.46999999999997</v>
      </c>
      <c r="L171" s="263">
        <v>1082.03</v>
      </c>
      <c r="M171" s="153"/>
      <c r="N171" s="252"/>
      <c r="O171" s="268">
        <f t="shared" si="15"/>
        <v>-12670.16</v>
      </c>
      <c r="P171" s="252" t="s">
        <v>755</v>
      </c>
      <c r="Q171" s="252"/>
      <c r="R171" s="256">
        <f t="shared" si="20"/>
        <v>13.22016</v>
      </c>
    </row>
    <row r="172" spans="1:18" ht="15" customHeight="1">
      <c r="A172" s="246" t="s">
        <v>572</v>
      </c>
      <c r="B172" s="247">
        <v>6000386</v>
      </c>
      <c r="C172" s="153">
        <v>5746001</v>
      </c>
      <c r="D172" s="252" t="s">
        <v>808</v>
      </c>
      <c r="E172" s="153"/>
      <c r="F172" s="263">
        <v>550</v>
      </c>
      <c r="G172" s="263">
        <v>550</v>
      </c>
      <c r="H172" s="255">
        <f t="shared" si="14"/>
        <v>13220.16</v>
      </c>
      <c r="I172" s="263">
        <v>11038</v>
      </c>
      <c r="J172" s="263">
        <f t="shared" si="21"/>
        <v>843.66</v>
      </c>
      <c r="K172" s="263">
        <f t="shared" si="22"/>
        <v>256.46999999999997</v>
      </c>
      <c r="L172" s="263">
        <v>1082.03</v>
      </c>
      <c r="M172" s="153"/>
      <c r="N172" s="252"/>
      <c r="O172" s="268">
        <f t="shared" si="15"/>
        <v>-12670.16</v>
      </c>
      <c r="P172" s="252" t="s">
        <v>755</v>
      </c>
      <c r="Q172" s="252"/>
      <c r="R172" s="256">
        <f t="shared" si="20"/>
        <v>13.22016</v>
      </c>
    </row>
    <row r="173" spans="1:18" ht="15" customHeight="1">
      <c r="A173" s="246" t="s">
        <v>572</v>
      </c>
      <c r="B173" s="247">
        <v>6000386</v>
      </c>
      <c r="C173" s="153">
        <v>5784001</v>
      </c>
      <c r="D173" s="252" t="s">
        <v>809</v>
      </c>
      <c r="E173" s="153"/>
      <c r="F173" s="263">
        <v>550</v>
      </c>
      <c r="G173" s="263">
        <v>550</v>
      </c>
      <c r="H173" s="255">
        <f t="shared" si="14"/>
        <v>13220.16</v>
      </c>
      <c r="I173" s="263">
        <v>11038</v>
      </c>
      <c r="J173" s="263">
        <f t="shared" si="21"/>
        <v>843.66</v>
      </c>
      <c r="K173" s="263">
        <f t="shared" si="22"/>
        <v>256.46999999999997</v>
      </c>
      <c r="L173" s="263">
        <v>1082.03</v>
      </c>
      <c r="M173" s="153"/>
      <c r="N173" s="252"/>
      <c r="O173" s="268">
        <f t="shared" si="15"/>
        <v>-12670.16</v>
      </c>
      <c r="P173" s="252" t="s">
        <v>755</v>
      </c>
      <c r="Q173" s="252"/>
      <c r="R173" s="256">
        <f t="shared" si="20"/>
        <v>13.22016</v>
      </c>
    </row>
    <row r="174" spans="1:18" ht="15" customHeight="1">
      <c r="A174" s="246" t="s">
        <v>572</v>
      </c>
      <c r="B174" s="247">
        <v>6000386</v>
      </c>
      <c r="C174" s="153">
        <v>5815001</v>
      </c>
      <c r="D174" s="252" t="s">
        <v>810</v>
      </c>
      <c r="E174" s="153"/>
      <c r="F174" s="263">
        <v>550</v>
      </c>
      <c r="G174" s="263">
        <v>550</v>
      </c>
      <c r="H174" s="255">
        <f t="shared" si="14"/>
        <v>13220.16</v>
      </c>
      <c r="I174" s="263">
        <v>11038</v>
      </c>
      <c r="J174" s="263">
        <f t="shared" si="21"/>
        <v>843.66</v>
      </c>
      <c r="K174" s="263">
        <f t="shared" si="22"/>
        <v>256.46999999999997</v>
      </c>
      <c r="L174" s="263">
        <v>1082.03</v>
      </c>
      <c r="M174" s="153"/>
      <c r="N174" s="252"/>
      <c r="O174" s="268">
        <f t="shared" si="15"/>
        <v>-12670.16</v>
      </c>
      <c r="P174" s="252" t="s">
        <v>755</v>
      </c>
      <c r="Q174" s="252"/>
      <c r="R174" s="256">
        <f t="shared" si="20"/>
        <v>13.22016</v>
      </c>
    </row>
    <row r="175" spans="1:18" ht="15" customHeight="1">
      <c r="A175" s="246" t="s">
        <v>572</v>
      </c>
      <c r="B175" s="247">
        <v>6000386</v>
      </c>
      <c r="C175" s="153">
        <v>2827003</v>
      </c>
      <c r="D175" s="252" t="s">
        <v>811</v>
      </c>
      <c r="E175" s="153"/>
      <c r="F175" s="263">
        <v>550</v>
      </c>
      <c r="G175" s="263">
        <v>550</v>
      </c>
      <c r="H175" s="255">
        <f t="shared" si="14"/>
        <v>13220.16</v>
      </c>
      <c r="I175" s="263">
        <v>11038</v>
      </c>
      <c r="J175" s="263">
        <f t="shared" si="21"/>
        <v>843.66</v>
      </c>
      <c r="K175" s="263">
        <f t="shared" si="22"/>
        <v>256.46999999999997</v>
      </c>
      <c r="L175" s="263">
        <v>1082.03</v>
      </c>
      <c r="M175" s="153"/>
      <c r="N175" s="252"/>
      <c r="O175" s="268">
        <f t="shared" si="15"/>
        <v>-12670.16</v>
      </c>
      <c r="P175" s="252" t="s">
        <v>755</v>
      </c>
      <c r="Q175" s="252"/>
      <c r="R175" s="256">
        <f t="shared" si="20"/>
        <v>13.22016</v>
      </c>
    </row>
    <row r="176" spans="1:18" ht="15" customHeight="1">
      <c r="A176" s="246" t="s">
        <v>572</v>
      </c>
      <c r="B176" s="247">
        <v>6000386</v>
      </c>
      <c r="C176" s="153">
        <v>5759001</v>
      </c>
      <c r="D176" s="252" t="s">
        <v>812</v>
      </c>
      <c r="E176" s="153"/>
      <c r="F176" s="263">
        <v>550</v>
      </c>
      <c r="G176" s="263">
        <v>550</v>
      </c>
      <c r="H176" s="255">
        <f t="shared" si="14"/>
        <v>13220.16</v>
      </c>
      <c r="I176" s="263">
        <v>11038</v>
      </c>
      <c r="J176" s="263">
        <f t="shared" si="21"/>
        <v>843.66</v>
      </c>
      <c r="K176" s="263">
        <f t="shared" si="22"/>
        <v>256.46999999999997</v>
      </c>
      <c r="L176" s="263">
        <v>1082.03</v>
      </c>
      <c r="M176" s="153"/>
      <c r="N176" s="252"/>
      <c r="O176" s="268">
        <f t="shared" si="15"/>
        <v>-12670.16</v>
      </c>
      <c r="P176" s="252" t="s">
        <v>755</v>
      </c>
      <c r="Q176" s="252"/>
      <c r="R176" s="256">
        <f t="shared" si="20"/>
        <v>13.22016</v>
      </c>
    </row>
    <row r="177" spans="1:18" ht="15" customHeight="1">
      <c r="A177" s="246" t="s">
        <v>572</v>
      </c>
      <c r="B177" s="247">
        <v>6000386</v>
      </c>
      <c r="C177" s="153">
        <v>5847001</v>
      </c>
      <c r="D177" s="252" t="s">
        <v>813</v>
      </c>
      <c r="E177" s="153"/>
      <c r="F177" s="263">
        <v>550</v>
      </c>
      <c r="G177" s="263">
        <v>550</v>
      </c>
      <c r="H177" s="255">
        <f t="shared" si="14"/>
        <v>13220.16</v>
      </c>
      <c r="I177" s="263">
        <v>11038</v>
      </c>
      <c r="J177" s="263">
        <f t="shared" si="21"/>
        <v>843.66</v>
      </c>
      <c r="K177" s="263">
        <f t="shared" si="22"/>
        <v>256.46999999999997</v>
      </c>
      <c r="L177" s="263">
        <v>1082.03</v>
      </c>
      <c r="M177" s="153"/>
      <c r="N177" s="252"/>
      <c r="O177" s="268">
        <f t="shared" si="15"/>
        <v>-12670.16</v>
      </c>
      <c r="P177" s="252" t="s">
        <v>755</v>
      </c>
      <c r="Q177" s="252"/>
      <c r="R177" s="256">
        <f t="shared" si="20"/>
        <v>13.22016</v>
      </c>
    </row>
    <row r="178" spans="1:18" ht="15" customHeight="1">
      <c r="A178" s="246" t="s">
        <v>572</v>
      </c>
      <c r="B178" s="247">
        <v>6000386</v>
      </c>
      <c r="C178" s="153">
        <v>5791001</v>
      </c>
      <c r="D178" s="252" t="s">
        <v>814</v>
      </c>
      <c r="E178" s="153"/>
      <c r="F178" s="263">
        <v>550</v>
      </c>
      <c r="G178" s="263">
        <v>550</v>
      </c>
      <c r="H178" s="255">
        <f t="shared" si="14"/>
        <v>13220.16</v>
      </c>
      <c r="I178" s="263">
        <v>11038</v>
      </c>
      <c r="J178" s="263">
        <f t="shared" si="21"/>
        <v>843.66</v>
      </c>
      <c r="K178" s="263">
        <f t="shared" si="22"/>
        <v>256.46999999999997</v>
      </c>
      <c r="L178" s="263">
        <v>1082.03</v>
      </c>
      <c r="M178" s="153"/>
      <c r="N178" s="252"/>
      <c r="O178" s="268">
        <f t="shared" si="15"/>
        <v>-12670.16</v>
      </c>
      <c r="P178" s="252" t="s">
        <v>755</v>
      </c>
      <c r="Q178" s="252"/>
      <c r="R178" s="256">
        <f t="shared" si="20"/>
        <v>13.22016</v>
      </c>
    </row>
    <row r="179" spans="1:18" ht="15" customHeight="1">
      <c r="A179" s="246" t="s">
        <v>572</v>
      </c>
      <c r="B179" s="247">
        <v>6000386</v>
      </c>
      <c r="C179" s="153">
        <v>5380002</v>
      </c>
      <c r="D179" s="252" t="s">
        <v>815</v>
      </c>
      <c r="E179" s="153"/>
      <c r="F179" s="263">
        <v>550</v>
      </c>
      <c r="G179" s="263">
        <v>550</v>
      </c>
      <c r="H179" s="255">
        <f t="shared" si="14"/>
        <v>13220.16</v>
      </c>
      <c r="I179" s="263">
        <v>11038</v>
      </c>
      <c r="J179" s="263">
        <f t="shared" si="21"/>
        <v>843.66</v>
      </c>
      <c r="K179" s="263">
        <f t="shared" si="22"/>
        <v>256.46999999999997</v>
      </c>
      <c r="L179" s="263">
        <v>1082.03</v>
      </c>
      <c r="M179" s="153"/>
      <c r="N179" s="252"/>
      <c r="O179" s="268">
        <f t="shared" si="15"/>
        <v>-12670.16</v>
      </c>
      <c r="P179" s="252" t="s">
        <v>755</v>
      </c>
      <c r="Q179" s="252"/>
      <c r="R179" s="256">
        <f t="shared" si="20"/>
        <v>13.22016</v>
      </c>
    </row>
    <row r="180" spans="1:18" ht="15" customHeight="1">
      <c r="A180" s="246" t="s">
        <v>572</v>
      </c>
      <c r="B180" s="247">
        <v>6000386</v>
      </c>
      <c r="C180" s="153">
        <v>5845001</v>
      </c>
      <c r="D180" s="252" t="s">
        <v>816</v>
      </c>
      <c r="E180" s="153"/>
      <c r="F180" s="263">
        <v>550</v>
      </c>
      <c r="G180" s="263">
        <v>550</v>
      </c>
      <c r="H180" s="255">
        <f t="shared" si="14"/>
        <v>13220.16</v>
      </c>
      <c r="I180" s="263">
        <v>11038</v>
      </c>
      <c r="J180" s="263">
        <f t="shared" si="21"/>
        <v>843.66</v>
      </c>
      <c r="K180" s="263">
        <f t="shared" si="22"/>
        <v>256.46999999999997</v>
      </c>
      <c r="L180" s="263">
        <v>1082.03</v>
      </c>
      <c r="M180" s="153"/>
      <c r="N180" s="252"/>
      <c r="O180" s="268">
        <f t="shared" si="15"/>
        <v>-12670.16</v>
      </c>
      <c r="P180" s="252" t="s">
        <v>755</v>
      </c>
      <c r="Q180" s="252"/>
      <c r="R180" s="256">
        <f t="shared" si="20"/>
        <v>13.22016</v>
      </c>
    </row>
    <row r="181" spans="1:18" ht="15" customHeight="1">
      <c r="A181" s="246" t="s">
        <v>572</v>
      </c>
      <c r="B181" s="247">
        <v>6000386</v>
      </c>
      <c r="C181" s="153">
        <v>5843001</v>
      </c>
      <c r="D181" s="252" t="s">
        <v>817</v>
      </c>
      <c r="E181" s="153"/>
      <c r="F181" s="263">
        <v>550</v>
      </c>
      <c r="G181" s="263">
        <v>550</v>
      </c>
      <c r="H181" s="255">
        <f t="shared" si="14"/>
        <v>13220.16</v>
      </c>
      <c r="I181" s="263">
        <v>11038</v>
      </c>
      <c r="J181" s="263">
        <f t="shared" si="21"/>
        <v>843.66</v>
      </c>
      <c r="K181" s="263">
        <f t="shared" si="22"/>
        <v>256.46999999999997</v>
      </c>
      <c r="L181" s="263">
        <v>1082.03</v>
      </c>
      <c r="M181" s="153"/>
      <c r="N181" s="252"/>
      <c r="O181" s="268">
        <f t="shared" si="15"/>
        <v>-12670.16</v>
      </c>
      <c r="P181" s="252" t="s">
        <v>755</v>
      </c>
      <c r="Q181" s="252"/>
      <c r="R181" s="256">
        <f t="shared" si="20"/>
        <v>13.22016</v>
      </c>
    </row>
    <row r="182" spans="1:18" ht="15" customHeight="1">
      <c r="A182" s="246" t="s">
        <v>572</v>
      </c>
      <c r="B182" s="247">
        <v>6000386</v>
      </c>
      <c r="C182" s="153">
        <v>5851001</v>
      </c>
      <c r="D182" s="252" t="s">
        <v>818</v>
      </c>
      <c r="E182" s="153"/>
      <c r="F182" s="263">
        <v>550</v>
      </c>
      <c r="G182" s="263">
        <v>550</v>
      </c>
      <c r="H182" s="255">
        <f t="shared" si="14"/>
        <v>13220.16</v>
      </c>
      <c r="I182" s="263">
        <v>11038</v>
      </c>
      <c r="J182" s="263">
        <f t="shared" si="21"/>
        <v>843.66</v>
      </c>
      <c r="K182" s="263">
        <f t="shared" si="22"/>
        <v>256.46999999999997</v>
      </c>
      <c r="L182" s="263">
        <v>1082.03</v>
      </c>
      <c r="M182" s="153"/>
      <c r="N182" s="252"/>
      <c r="O182" s="268">
        <f t="shared" si="15"/>
        <v>-12670.16</v>
      </c>
      <c r="P182" s="252" t="s">
        <v>755</v>
      </c>
      <c r="Q182" s="252"/>
      <c r="R182" s="256">
        <f t="shared" si="20"/>
        <v>13.22016</v>
      </c>
    </row>
    <row r="183" spans="1:18" ht="15" customHeight="1">
      <c r="A183" s="246" t="s">
        <v>572</v>
      </c>
      <c r="B183" s="247">
        <v>6000386</v>
      </c>
      <c r="C183" s="153">
        <v>5778001</v>
      </c>
      <c r="D183" s="252" t="s">
        <v>819</v>
      </c>
      <c r="E183" s="153"/>
      <c r="F183" s="263">
        <v>550</v>
      </c>
      <c r="G183" s="263">
        <v>550</v>
      </c>
      <c r="H183" s="255">
        <f t="shared" si="14"/>
        <v>13220.16</v>
      </c>
      <c r="I183" s="263">
        <v>11038</v>
      </c>
      <c r="J183" s="263">
        <f t="shared" si="21"/>
        <v>843.66</v>
      </c>
      <c r="K183" s="263">
        <f t="shared" si="22"/>
        <v>256.46999999999997</v>
      </c>
      <c r="L183" s="263">
        <v>1082.03</v>
      </c>
      <c r="M183" s="153"/>
      <c r="N183" s="252"/>
      <c r="O183" s="268">
        <f t="shared" si="15"/>
        <v>-12670.16</v>
      </c>
      <c r="P183" s="252" t="s">
        <v>755</v>
      </c>
      <c r="Q183" s="252"/>
      <c r="R183" s="256">
        <f t="shared" si="20"/>
        <v>13.22016</v>
      </c>
    </row>
    <row r="184" spans="1:18" ht="15" customHeight="1">
      <c r="A184" s="246" t="s">
        <v>572</v>
      </c>
      <c r="B184" s="247">
        <v>6000386</v>
      </c>
      <c r="C184" s="153">
        <v>5859001</v>
      </c>
      <c r="D184" s="252" t="s">
        <v>820</v>
      </c>
      <c r="E184" s="153"/>
      <c r="F184" s="263">
        <v>550</v>
      </c>
      <c r="G184" s="263">
        <v>550</v>
      </c>
      <c r="H184" s="255">
        <f t="shared" si="14"/>
        <v>13220.16</v>
      </c>
      <c r="I184" s="263">
        <v>11038</v>
      </c>
      <c r="J184" s="263">
        <f t="shared" si="21"/>
        <v>843.66</v>
      </c>
      <c r="K184" s="263">
        <f t="shared" si="22"/>
        <v>256.46999999999997</v>
      </c>
      <c r="L184" s="263">
        <v>1082.03</v>
      </c>
      <c r="M184" s="153"/>
      <c r="N184" s="252"/>
      <c r="O184" s="268">
        <f t="shared" si="15"/>
        <v>-12670.16</v>
      </c>
      <c r="P184" s="252" t="s">
        <v>755</v>
      </c>
      <c r="Q184" s="252"/>
      <c r="R184" s="256">
        <f t="shared" si="20"/>
        <v>13.22016</v>
      </c>
    </row>
    <row r="185" spans="1:18" ht="15" customHeight="1">
      <c r="A185" s="246" t="s">
        <v>572</v>
      </c>
      <c r="B185" s="247">
        <v>6000386</v>
      </c>
      <c r="C185" s="153">
        <v>5443002</v>
      </c>
      <c r="D185" s="252" t="s">
        <v>821</v>
      </c>
      <c r="E185" s="153"/>
      <c r="F185" s="263">
        <v>550</v>
      </c>
      <c r="G185" s="263">
        <v>550</v>
      </c>
      <c r="H185" s="255">
        <f t="shared" si="14"/>
        <v>10072.16</v>
      </c>
      <c r="I185" s="263">
        <v>7890</v>
      </c>
      <c r="J185" s="263">
        <f t="shared" si="21"/>
        <v>843.66</v>
      </c>
      <c r="K185" s="263">
        <f t="shared" si="22"/>
        <v>256.46999999999997</v>
      </c>
      <c r="L185" s="263">
        <v>1082.03</v>
      </c>
      <c r="M185" s="153"/>
      <c r="N185" s="252"/>
      <c r="O185" s="268">
        <f t="shared" si="15"/>
        <v>-9522.16</v>
      </c>
      <c r="P185" s="252" t="s">
        <v>748</v>
      </c>
      <c r="Q185" s="252"/>
      <c r="R185" s="256">
        <f t="shared" si="20"/>
        <v>10.07216</v>
      </c>
    </row>
    <row r="186" spans="1:18" ht="15" customHeight="1">
      <c r="A186" s="246" t="s">
        <v>572</v>
      </c>
      <c r="B186" s="247">
        <v>6000386</v>
      </c>
      <c r="C186" s="153">
        <v>5863001</v>
      </c>
      <c r="D186" s="252" t="s">
        <v>822</v>
      </c>
      <c r="E186" s="153"/>
      <c r="F186" s="263">
        <v>550</v>
      </c>
      <c r="G186" s="263">
        <v>550</v>
      </c>
      <c r="H186" s="255">
        <f t="shared" si="14"/>
        <v>13220.16</v>
      </c>
      <c r="I186" s="263">
        <v>11038</v>
      </c>
      <c r="J186" s="263">
        <f t="shared" si="21"/>
        <v>843.66</v>
      </c>
      <c r="K186" s="263">
        <f t="shared" si="22"/>
        <v>256.46999999999997</v>
      </c>
      <c r="L186" s="263">
        <v>1082.03</v>
      </c>
      <c r="M186" s="153"/>
      <c r="N186" s="252"/>
      <c r="O186" s="268">
        <f t="shared" si="15"/>
        <v>-12670.16</v>
      </c>
      <c r="P186" s="252" t="s">
        <v>755</v>
      </c>
      <c r="Q186" s="252"/>
      <c r="R186" s="256">
        <f t="shared" si="20"/>
        <v>13.22016</v>
      </c>
    </row>
    <row r="187" spans="1:18" ht="15" customHeight="1">
      <c r="A187" s="246" t="s">
        <v>572</v>
      </c>
      <c r="B187" s="247">
        <v>6000386</v>
      </c>
      <c r="C187" s="153">
        <v>5871001</v>
      </c>
      <c r="D187" s="252" t="s">
        <v>823</v>
      </c>
      <c r="E187" s="153"/>
      <c r="F187" s="263">
        <v>550</v>
      </c>
      <c r="G187" s="263">
        <v>550</v>
      </c>
      <c r="H187" s="255">
        <f t="shared" si="14"/>
        <v>13220.16</v>
      </c>
      <c r="I187" s="263">
        <v>11038</v>
      </c>
      <c r="J187" s="263">
        <f t="shared" si="21"/>
        <v>843.66</v>
      </c>
      <c r="K187" s="263">
        <f t="shared" si="22"/>
        <v>256.46999999999997</v>
      </c>
      <c r="L187" s="263">
        <v>1082.03</v>
      </c>
      <c r="M187" s="153"/>
      <c r="N187" s="252"/>
      <c r="O187" s="268">
        <f t="shared" si="15"/>
        <v>-12670.16</v>
      </c>
      <c r="P187" s="252" t="s">
        <v>755</v>
      </c>
      <c r="Q187" s="252"/>
      <c r="R187" s="256">
        <f t="shared" si="20"/>
        <v>13.22016</v>
      </c>
    </row>
    <row r="188" spans="1:18" ht="15" customHeight="1">
      <c r="A188" s="246" t="s">
        <v>572</v>
      </c>
      <c r="B188" s="247">
        <v>6000386</v>
      </c>
      <c r="C188" s="153">
        <v>5779002</v>
      </c>
      <c r="D188" s="252" t="s">
        <v>824</v>
      </c>
      <c r="E188" s="153"/>
      <c r="F188" s="263">
        <v>550</v>
      </c>
      <c r="G188" s="263">
        <v>550</v>
      </c>
      <c r="H188" s="255">
        <f t="shared" si="14"/>
        <v>13220.16</v>
      </c>
      <c r="I188" s="263">
        <v>11038</v>
      </c>
      <c r="J188" s="263">
        <f t="shared" si="21"/>
        <v>843.66</v>
      </c>
      <c r="K188" s="263">
        <f t="shared" si="22"/>
        <v>256.46999999999997</v>
      </c>
      <c r="L188" s="263">
        <v>1082.03</v>
      </c>
      <c r="M188" s="153"/>
      <c r="N188" s="252"/>
      <c r="O188" s="268">
        <f t="shared" si="15"/>
        <v>-12670.16</v>
      </c>
      <c r="P188" s="252" t="s">
        <v>755</v>
      </c>
      <c r="Q188" s="252"/>
      <c r="R188" s="256">
        <f t="shared" si="20"/>
        <v>13.22016</v>
      </c>
    </row>
    <row r="189" spans="1:18" ht="15" customHeight="1">
      <c r="A189" s="246" t="s">
        <v>572</v>
      </c>
      <c r="B189" s="247">
        <v>6000386</v>
      </c>
      <c r="C189" s="153">
        <v>5870001</v>
      </c>
      <c r="D189" s="252" t="s">
        <v>825</v>
      </c>
      <c r="E189" s="153"/>
      <c r="F189" s="263">
        <v>550</v>
      </c>
      <c r="G189" s="263">
        <v>550</v>
      </c>
      <c r="H189" s="255">
        <f t="shared" si="14"/>
        <v>13220.16</v>
      </c>
      <c r="I189" s="263">
        <v>11038</v>
      </c>
      <c r="J189" s="263">
        <f t="shared" si="21"/>
        <v>843.66</v>
      </c>
      <c r="K189" s="263">
        <f t="shared" si="22"/>
        <v>256.46999999999997</v>
      </c>
      <c r="L189" s="263">
        <v>1082.03</v>
      </c>
      <c r="M189" s="153"/>
      <c r="N189" s="252"/>
      <c r="O189" s="268">
        <f t="shared" si="15"/>
        <v>-12670.16</v>
      </c>
      <c r="P189" s="252" t="s">
        <v>755</v>
      </c>
      <c r="Q189" s="252"/>
      <c r="R189" s="256">
        <f t="shared" si="20"/>
        <v>13.22016</v>
      </c>
    </row>
    <row r="190" spans="1:18" ht="15" customHeight="1">
      <c r="A190" s="246" t="s">
        <v>572</v>
      </c>
      <c r="B190" s="247">
        <v>6000386</v>
      </c>
      <c r="C190" s="153">
        <v>3150002</v>
      </c>
      <c r="D190" s="252" t="s">
        <v>826</v>
      </c>
      <c r="E190" s="153"/>
      <c r="F190" s="263">
        <v>550</v>
      </c>
      <c r="G190" s="263">
        <v>550</v>
      </c>
      <c r="H190" s="255">
        <f t="shared" si="14"/>
        <v>13220.16</v>
      </c>
      <c r="I190" s="263">
        <v>11038</v>
      </c>
      <c r="J190" s="263">
        <f t="shared" si="21"/>
        <v>843.66</v>
      </c>
      <c r="K190" s="263">
        <f t="shared" si="22"/>
        <v>256.46999999999997</v>
      </c>
      <c r="L190" s="263">
        <v>1082.03</v>
      </c>
      <c r="M190" s="153"/>
      <c r="N190" s="252"/>
      <c r="O190" s="268">
        <f t="shared" si="15"/>
        <v>-12670.16</v>
      </c>
      <c r="P190" s="252" t="s">
        <v>755</v>
      </c>
      <c r="Q190" s="252"/>
      <c r="R190" s="256">
        <f t="shared" si="20"/>
        <v>13.22016</v>
      </c>
    </row>
    <row r="191" spans="1:18" ht="15" customHeight="1">
      <c r="A191" s="246" t="s">
        <v>572</v>
      </c>
      <c r="B191" s="247">
        <v>6000386</v>
      </c>
      <c r="C191" s="153">
        <v>5732001</v>
      </c>
      <c r="D191" s="252" t="s">
        <v>439</v>
      </c>
      <c r="E191" s="153"/>
      <c r="F191" s="263">
        <v>550</v>
      </c>
      <c r="G191" s="263">
        <v>550</v>
      </c>
      <c r="H191" s="255">
        <f t="shared" si="14"/>
        <v>13220.16</v>
      </c>
      <c r="I191" s="263">
        <v>11038</v>
      </c>
      <c r="J191" s="263">
        <f t="shared" si="21"/>
        <v>843.66</v>
      </c>
      <c r="K191" s="263">
        <f t="shared" si="22"/>
        <v>256.46999999999997</v>
      </c>
      <c r="L191" s="263">
        <v>1082.03</v>
      </c>
      <c r="M191" s="153"/>
      <c r="N191" s="252"/>
      <c r="O191" s="268">
        <f t="shared" si="15"/>
        <v>-12670.16</v>
      </c>
      <c r="P191" s="252" t="s">
        <v>755</v>
      </c>
      <c r="Q191" s="252"/>
      <c r="R191" s="256">
        <f t="shared" si="20"/>
        <v>13.22016</v>
      </c>
    </row>
    <row r="192" spans="1:18" ht="15" customHeight="1">
      <c r="A192" s="246" t="s">
        <v>572</v>
      </c>
      <c r="B192" s="247">
        <v>6000386</v>
      </c>
      <c r="C192" s="153">
        <v>5758001</v>
      </c>
      <c r="D192" s="252" t="s">
        <v>827</v>
      </c>
      <c r="E192" s="153"/>
      <c r="F192" s="263">
        <v>550</v>
      </c>
      <c r="G192" s="263">
        <v>550</v>
      </c>
      <c r="H192" s="255">
        <f t="shared" si="14"/>
        <v>13220.16</v>
      </c>
      <c r="I192" s="263">
        <v>11038</v>
      </c>
      <c r="J192" s="263">
        <f t="shared" si="21"/>
        <v>843.66</v>
      </c>
      <c r="K192" s="263">
        <f t="shared" si="22"/>
        <v>256.46999999999997</v>
      </c>
      <c r="L192" s="263">
        <v>1082.03</v>
      </c>
      <c r="M192" s="153"/>
      <c r="N192" s="252"/>
      <c r="O192" s="268">
        <f t="shared" si="15"/>
        <v>-12670.16</v>
      </c>
      <c r="P192" s="252" t="s">
        <v>755</v>
      </c>
      <c r="Q192" s="252"/>
      <c r="R192" s="256">
        <f t="shared" si="20"/>
        <v>13.22016</v>
      </c>
    </row>
    <row r="193" spans="1:18" ht="15" customHeight="1">
      <c r="A193" s="246" t="s">
        <v>572</v>
      </c>
      <c r="B193" s="247">
        <v>6000386</v>
      </c>
      <c r="C193" s="153">
        <v>3848002</v>
      </c>
      <c r="D193" s="252" t="s">
        <v>828</v>
      </c>
      <c r="E193" s="153"/>
      <c r="F193" s="263">
        <v>550</v>
      </c>
      <c r="G193" s="263">
        <v>550</v>
      </c>
      <c r="H193" s="255">
        <f t="shared" si="14"/>
        <v>13220.16</v>
      </c>
      <c r="I193" s="263">
        <v>11038</v>
      </c>
      <c r="J193" s="263">
        <f t="shared" si="21"/>
        <v>843.66</v>
      </c>
      <c r="K193" s="263">
        <f t="shared" si="22"/>
        <v>256.46999999999997</v>
      </c>
      <c r="L193" s="263">
        <v>1082.03</v>
      </c>
      <c r="M193" s="153"/>
      <c r="N193" s="252"/>
      <c r="O193" s="268">
        <f t="shared" si="15"/>
        <v>-12670.16</v>
      </c>
      <c r="P193" s="252" t="s">
        <v>755</v>
      </c>
      <c r="Q193" s="252"/>
      <c r="R193" s="256">
        <f t="shared" si="20"/>
        <v>13.22016</v>
      </c>
    </row>
    <row r="194" spans="1:18" ht="15" customHeight="1">
      <c r="A194" s="246" t="s">
        <v>572</v>
      </c>
      <c r="B194" s="247">
        <v>6000386</v>
      </c>
      <c r="C194" s="153">
        <v>5856001</v>
      </c>
      <c r="D194" s="252" t="s">
        <v>829</v>
      </c>
      <c r="E194" s="153"/>
      <c r="F194" s="263">
        <v>550</v>
      </c>
      <c r="G194" s="263">
        <v>550</v>
      </c>
      <c r="H194" s="255">
        <f t="shared" si="14"/>
        <v>13220.16</v>
      </c>
      <c r="I194" s="263">
        <v>11038</v>
      </c>
      <c r="J194" s="263">
        <f t="shared" si="21"/>
        <v>843.66</v>
      </c>
      <c r="K194" s="263">
        <f t="shared" si="22"/>
        <v>256.46999999999997</v>
      </c>
      <c r="L194" s="263">
        <v>1082.03</v>
      </c>
      <c r="M194" s="153"/>
      <c r="N194" s="252"/>
      <c r="O194" s="268">
        <f t="shared" si="15"/>
        <v>-12670.16</v>
      </c>
      <c r="P194" s="252" t="s">
        <v>755</v>
      </c>
      <c r="Q194" s="252"/>
      <c r="R194" s="256">
        <f t="shared" si="20"/>
        <v>13.22016</v>
      </c>
    </row>
    <row r="195" spans="1:18" ht="15" customHeight="1">
      <c r="A195" s="246" t="s">
        <v>572</v>
      </c>
      <c r="B195" s="247">
        <v>6000386</v>
      </c>
      <c r="C195" s="153">
        <v>5872001</v>
      </c>
      <c r="D195" s="252" t="s">
        <v>830</v>
      </c>
      <c r="E195" s="153"/>
      <c r="F195" s="263">
        <v>550</v>
      </c>
      <c r="G195" s="263">
        <v>550</v>
      </c>
      <c r="H195" s="255">
        <f t="shared" si="14"/>
        <v>13220.16</v>
      </c>
      <c r="I195" s="263">
        <v>11038</v>
      </c>
      <c r="J195" s="263">
        <f t="shared" si="21"/>
        <v>843.66</v>
      </c>
      <c r="K195" s="263">
        <f t="shared" si="22"/>
        <v>256.46999999999997</v>
      </c>
      <c r="L195" s="263">
        <v>1082.03</v>
      </c>
      <c r="M195" s="153"/>
      <c r="N195" s="252"/>
      <c r="O195" s="268">
        <f t="shared" si="15"/>
        <v>-12670.16</v>
      </c>
      <c r="P195" s="252" t="s">
        <v>755</v>
      </c>
      <c r="Q195" s="252"/>
      <c r="R195" s="256">
        <f t="shared" si="20"/>
        <v>13.22016</v>
      </c>
    </row>
    <row r="196" spans="1:18" ht="15" customHeight="1">
      <c r="A196" s="246" t="s">
        <v>572</v>
      </c>
      <c r="B196" s="247">
        <v>6000386</v>
      </c>
      <c r="C196" s="153">
        <v>5776001</v>
      </c>
      <c r="D196" s="252" t="s">
        <v>831</v>
      </c>
      <c r="E196" s="153"/>
      <c r="F196" s="263">
        <v>550</v>
      </c>
      <c r="G196" s="263">
        <v>550</v>
      </c>
      <c r="H196" s="255">
        <f t="shared" si="14"/>
        <v>13220.16</v>
      </c>
      <c r="I196" s="263">
        <v>11038</v>
      </c>
      <c r="J196" s="263">
        <f t="shared" si="21"/>
        <v>843.66</v>
      </c>
      <c r="K196" s="263">
        <f t="shared" si="22"/>
        <v>256.46999999999997</v>
      </c>
      <c r="L196" s="263">
        <v>1082.03</v>
      </c>
      <c r="M196" s="153"/>
      <c r="N196" s="252"/>
      <c r="O196" s="268">
        <f t="shared" si="15"/>
        <v>-12670.16</v>
      </c>
      <c r="P196" s="252" t="s">
        <v>755</v>
      </c>
      <c r="Q196" s="252"/>
      <c r="R196" s="256">
        <f t="shared" si="20"/>
        <v>13.22016</v>
      </c>
    </row>
    <row r="197" spans="1:18" ht="15" customHeight="1">
      <c r="A197" s="246" t="s">
        <v>572</v>
      </c>
      <c r="B197" s="247">
        <v>6000386</v>
      </c>
      <c r="C197" s="153">
        <v>5874001</v>
      </c>
      <c r="D197" s="252" t="s">
        <v>832</v>
      </c>
      <c r="E197" s="153"/>
      <c r="F197" s="263">
        <v>550</v>
      </c>
      <c r="G197" s="263">
        <v>550</v>
      </c>
      <c r="H197" s="255">
        <f t="shared" si="14"/>
        <v>13220.16</v>
      </c>
      <c r="I197" s="263">
        <v>11038</v>
      </c>
      <c r="J197" s="263">
        <f t="shared" si="21"/>
        <v>843.66</v>
      </c>
      <c r="K197" s="263">
        <f t="shared" si="22"/>
        <v>256.46999999999997</v>
      </c>
      <c r="L197" s="263">
        <v>1082.03</v>
      </c>
      <c r="M197" s="153"/>
      <c r="N197" s="252"/>
      <c r="O197" s="268">
        <f t="shared" si="15"/>
        <v>-12670.16</v>
      </c>
      <c r="P197" s="252" t="s">
        <v>755</v>
      </c>
      <c r="Q197" s="252"/>
      <c r="R197" s="256">
        <f t="shared" si="20"/>
        <v>13.22016</v>
      </c>
    </row>
    <row r="198" spans="1:18" ht="15" customHeight="1">
      <c r="A198" s="246" t="s">
        <v>572</v>
      </c>
      <c r="B198" s="247">
        <v>6000386</v>
      </c>
      <c r="C198" s="153">
        <v>5865001</v>
      </c>
      <c r="D198" s="252" t="s">
        <v>833</v>
      </c>
      <c r="E198" s="153"/>
      <c r="F198" s="263">
        <v>550</v>
      </c>
      <c r="G198" s="263">
        <v>550</v>
      </c>
      <c r="H198" s="255">
        <f t="shared" ref="H198:H250" si="23">SUM(I198:M198)</f>
        <v>13220.16</v>
      </c>
      <c r="I198" s="263">
        <v>11038</v>
      </c>
      <c r="J198" s="263">
        <f t="shared" si="21"/>
        <v>843.66</v>
      </c>
      <c r="K198" s="263">
        <f t="shared" si="22"/>
        <v>256.46999999999997</v>
      </c>
      <c r="L198" s="263">
        <v>1082.03</v>
      </c>
      <c r="M198" s="153"/>
      <c r="N198" s="252"/>
      <c r="O198" s="268">
        <f t="shared" ref="O198:O250" si="24">G198-H198</f>
        <v>-12670.16</v>
      </c>
      <c r="P198" s="252" t="s">
        <v>755</v>
      </c>
      <c r="Q198" s="252"/>
      <c r="R198" s="256">
        <f t="shared" si="20"/>
        <v>13.22016</v>
      </c>
    </row>
    <row r="199" spans="1:18" ht="15" customHeight="1">
      <c r="A199" s="246" t="s">
        <v>572</v>
      </c>
      <c r="B199" s="247">
        <v>6000386</v>
      </c>
      <c r="C199" s="153">
        <v>5876001</v>
      </c>
      <c r="D199" s="252" t="s">
        <v>834</v>
      </c>
      <c r="E199" s="153"/>
      <c r="F199" s="263">
        <v>550</v>
      </c>
      <c r="G199" s="263">
        <v>550</v>
      </c>
      <c r="H199" s="255">
        <f t="shared" si="23"/>
        <v>13220.16</v>
      </c>
      <c r="I199" s="263">
        <v>11038</v>
      </c>
      <c r="J199" s="263">
        <f t="shared" si="21"/>
        <v>843.66</v>
      </c>
      <c r="K199" s="263">
        <f t="shared" si="22"/>
        <v>256.46999999999997</v>
      </c>
      <c r="L199" s="263">
        <v>1082.03</v>
      </c>
      <c r="M199" s="153"/>
      <c r="N199" s="252"/>
      <c r="O199" s="268">
        <f t="shared" si="24"/>
        <v>-12670.16</v>
      </c>
      <c r="P199" s="252" t="s">
        <v>755</v>
      </c>
      <c r="Q199" s="252"/>
      <c r="R199" s="256">
        <f t="shared" si="20"/>
        <v>13.22016</v>
      </c>
    </row>
    <row r="200" spans="1:18" ht="15" customHeight="1">
      <c r="A200" s="246" t="s">
        <v>572</v>
      </c>
      <c r="B200" s="247">
        <v>6000386</v>
      </c>
      <c r="C200" s="153">
        <v>5877001</v>
      </c>
      <c r="D200" s="252" t="s">
        <v>835</v>
      </c>
      <c r="E200" s="153"/>
      <c r="F200" s="263">
        <v>550</v>
      </c>
      <c r="G200" s="263">
        <v>550</v>
      </c>
      <c r="H200" s="255">
        <f t="shared" si="23"/>
        <v>13220.16</v>
      </c>
      <c r="I200" s="263">
        <v>11038</v>
      </c>
      <c r="J200" s="263">
        <f t="shared" si="21"/>
        <v>843.66</v>
      </c>
      <c r="K200" s="263">
        <f t="shared" si="22"/>
        <v>256.46999999999997</v>
      </c>
      <c r="L200" s="263">
        <v>1082.03</v>
      </c>
      <c r="M200" s="153"/>
      <c r="N200" s="252"/>
      <c r="O200" s="268">
        <f t="shared" si="24"/>
        <v>-12670.16</v>
      </c>
      <c r="P200" s="252" t="s">
        <v>755</v>
      </c>
      <c r="Q200" s="252"/>
      <c r="R200" s="256">
        <f t="shared" si="20"/>
        <v>13.22016</v>
      </c>
    </row>
    <row r="201" spans="1:18" ht="15" customHeight="1">
      <c r="A201" s="246" t="s">
        <v>572</v>
      </c>
      <c r="B201" s="247">
        <v>6000386</v>
      </c>
      <c r="C201" s="153">
        <v>846146</v>
      </c>
      <c r="D201" s="252" t="s">
        <v>149</v>
      </c>
      <c r="E201" s="153"/>
      <c r="F201" s="263">
        <v>28603.4</v>
      </c>
      <c r="G201" s="263">
        <v>28603.4</v>
      </c>
      <c r="H201" s="255">
        <f t="shared" si="23"/>
        <v>10527.1</v>
      </c>
      <c r="I201" s="153">
        <v>8334.0400000000009</v>
      </c>
      <c r="J201" s="153">
        <f>511.15+332.51</f>
        <v>843.66</v>
      </c>
      <c r="K201" s="153">
        <f>155.39+101.08</f>
        <v>256.46999999999997</v>
      </c>
      <c r="L201" s="153">
        <v>1092.93</v>
      </c>
      <c r="M201" s="153"/>
      <c r="N201" s="252"/>
      <c r="O201" s="268">
        <f t="shared" si="24"/>
        <v>18076.300000000003</v>
      </c>
      <c r="P201" s="252" t="s">
        <v>748</v>
      </c>
      <c r="Q201" s="252"/>
    </row>
    <row r="202" spans="1:18" ht="15" customHeight="1">
      <c r="A202" s="246" t="s">
        <v>572</v>
      </c>
      <c r="B202" s="247">
        <v>6000386</v>
      </c>
      <c r="C202" s="153">
        <v>5879001</v>
      </c>
      <c r="D202" s="252" t="s">
        <v>836</v>
      </c>
      <c r="E202" s="153"/>
      <c r="F202" s="263">
        <v>550</v>
      </c>
      <c r="G202" s="263">
        <v>550</v>
      </c>
      <c r="H202" s="264">
        <f t="shared" si="23"/>
        <v>13219.99</v>
      </c>
      <c r="I202" s="263">
        <v>11038</v>
      </c>
      <c r="J202" s="263">
        <f>502.66+332.51</f>
        <v>835.17000000000007</v>
      </c>
      <c r="K202" s="263">
        <f>152.81+101.08</f>
        <v>253.89</v>
      </c>
      <c r="L202" s="263">
        <v>1092.93</v>
      </c>
      <c r="M202" s="153"/>
      <c r="N202" s="252"/>
      <c r="O202" s="268">
        <f t="shared" si="24"/>
        <v>-12669.99</v>
      </c>
      <c r="P202" s="252" t="s">
        <v>755</v>
      </c>
      <c r="Q202" s="252"/>
      <c r="R202" s="256">
        <f t="shared" ref="R202:R219" si="25">H202/1000</f>
        <v>13.219989999999999</v>
      </c>
    </row>
    <row r="203" spans="1:18" ht="15" customHeight="1">
      <c r="A203" s="246" t="s">
        <v>572</v>
      </c>
      <c r="B203" s="247">
        <v>6000386</v>
      </c>
      <c r="C203" s="153">
        <v>5867001</v>
      </c>
      <c r="D203" s="252" t="s">
        <v>837</v>
      </c>
      <c r="E203" s="153"/>
      <c r="F203" s="263">
        <v>550</v>
      </c>
      <c r="G203" s="263">
        <v>550</v>
      </c>
      <c r="H203" s="264">
        <f t="shared" si="23"/>
        <v>13219.99</v>
      </c>
      <c r="I203" s="263">
        <v>11038</v>
      </c>
      <c r="J203" s="263">
        <f>502.66+332.51</f>
        <v>835.17000000000007</v>
      </c>
      <c r="K203" s="263">
        <f>152.81+101.08</f>
        <v>253.89</v>
      </c>
      <c r="L203" s="263">
        <v>1092.93</v>
      </c>
      <c r="M203" s="153"/>
      <c r="N203" s="252"/>
      <c r="O203" s="268">
        <f t="shared" si="24"/>
        <v>-12669.99</v>
      </c>
      <c r="P203" s="252" t="s">
        <v>755</v>
      </c>
      <c r="Q203" s="252"/>
      <c r="R203" s="256">
        <f t="shared" si="25"/>
        <v>13.219989999999999</v>
      </c>
    </row>
    <row r="204" spans="1:18" ht="15" customHeight="1">
      <c r="A204" s="246" t="s">
        <v>572</v>
      </c>
      <c r="B204" s="247">
        <v>6000386</v>
      </c>
      <c r="C204" s="153">
        <v>5838001</v>
      </c>
      <c r="D204" s="252" t="s">
        <v>838</v>
      </c>
      <c r="E204" s="153"/>
      <c r="F204" s="263">
        <v>550</v>
      </c>
      <c r="G204" s="263">
        <v>550</v>
      </c>
      <c r="H204" s="264">
        <f t="shared" si="23"/>
        <v>13219.99</v>
      </c>
      <c r="I204" s="263">
        <v>11038</v>
      </c>
      <c r="J204" s="263">
        <f t="shared" ref="J204:J224" si="26">502.66+332.51</f>
        <v>835.17000000000007</v>
      </c>
      <c r="K204" s="263">
        <f t="shared" ref="K204:K224" si="27">152.81+101.08</f>
        <v>253.89</v>
      </c>
      <c r="L204" s="263">
        <v>1092.93</v>
      </c>
      <c r="M204" s="153"/>
      <c r="N204" s="252"/>
      <c r="O204" s="268">
        <f t="shared" si="24"/>
        <v>-12669.99</v>
      </c>
      <c r="P204" s="252" t="s">
        <v>755</v>
      </c>
      <c r="Q204" s="252"/>
      <c r="R204" s="256">
        <f t="shared" si="25"/>
        <v>13.219989999999999</v>
      </c>
    </row>
    <row r="205" spans="1:18" ht="15" customHeight="1">
      <c r="A205" s="246" t="s">
        <v>572</v>
      </c>
      <c r="B205" s="247">
        <v>6000386</v>
      </c>
      <c r="C205" s="153">
        <v>5839001</v>
      </c>
      <c r="D205" s="252" t="s">
        <v>839</v>
      </c>
      <c r="E205" s="153"/>
      <c r="F205" s="263">
        <v>550</v>
      </c>
      <c r="G205" s="263">
        <v>550</v>
      </c>
      <c r="H205" s="264">
        <f t="shared" si="23"/>
        <v>13219.99</v>
      </c>
      <c r="I205" s="263">
        <v>11038</v>
      </c>
      <c r="J205" s="263">
        <f t="shared" si="26"/>
        <v>835.17000000000007</v>
      </c>
      <c r="K205" s="263">
        <f t="shared" si="27"/>
        <v>253.89</v>
      </c>
      <c r="L205" s="263">
        <v>1092.93</v>
      </c>
      <c r="M205" s="153"/>
      <c r="N205" s="252"/>
      <c r="O205" s="268">
        <f t="shared" si="24"/>
        <v>-12669.99</v>
      </c>
      <c r="P205" s="252" t="s">
        <v>755</v>
      </c>
      <c r="Q205" s="252"/>
      <c r="R205" s="256">
        <f t="shared" si="25"/>
        <v>13.219989999999999</v>
      </c>
    </row>
    <row r="206" spans="1:18" ht="15" customHeight="1">
      <c r="A206" s="246" t="s">
        <v>572</v>
      </c>
      <c r="B206" s="247">
        <v>6000386</v>
      </c>
      <c r="C206" s="153">
        <v>5827001</v>
      </c>
      <c r="D206" s="252" t="s">
        <v>840</v>
      </c>
      <c r="E206" s="153"/>
      <c r="F206" s="263">
        <v>550</v>
      </c>
      <c r="G206" s="263">
        <v>550</v>
      </c>
      <c r="H206" s="264">
        <f t="shared" si="23"/>
        <v>13219.99</v>
      </c>
      <c r="I206" s="263">
        <v>11038</v>
      </c>
      <c r="J206" s="263">
        <f t="shared" si="26"/>
        <v>835.17000000000007</v>
      </c>
      <c r="K206" s="263">
        <f t="shared" si="27"/>
        <v>253.89</v>
      </c>
      <c r="L206" s="263">
        <v>1092.93</v>
      </c>
      <c r="M206" s="153"/>
      <c r="N206" s="252"/>
      <c r="O206" s="268">
        <f t="shared" si="24"/>
        <v>-12669.99</v>
      </c>
      <c r="P206" s="252" t="s">
        <v>755</v>
      </c>
      <c r="Q206" s="252"/>
      <c r="R206" s="256">
        <f t="shared" si="25"/>
        <v>13.219989999999999</v>
      </c>
    </row>
    <row r="207" spans="1:18" ht="15" customHeight="1">
      <c r="A207" s="246" t="s">
        <v>572</v>
      </c>
      <c r="B207" s="247">
        <v>6000386</v>
      </c>
      <c r="C207" s="153">
        <v>5840001</v>
      </c>
      <c r="D207" s="252" t="s">
        <v>841</v>
      </c>
      <c r="E207" s="153"/>
      <c r="F207" s="263">
        <v>550</v>
      </c>
      <c r="G207" s="263">
        <v>550</v>
      </c>
      <c r="H207" s="264">
        <f t="shared" si="23"/>
        <v>13219.99</v>
      </c>
      <c r="I207" s="263">
        <v>11038</v>
      </c>
      <c r="J207" s="263">
        <f t="shared" si="26"/>
        <v>835.17000000000007</v>
      </c>
      <c r="K207" s="263">
        <f t="shared" si="27"/>
        <v>253.89</v>
      </c>
      <c r="L207" s="263">
        <v>1092.93</v>
      </c>
      <c r="M207" s="153"/>
      <c r="N207" s="252"/>
      <c r="O207" s="268">
        <f t="shared" si="24"/>
        <v>-12669.99</v>
      </c>
      <c r="P207" s="252" t="s">
        <v>755</v>
      </c>
      <c r="Q207" s="252"/>
      <c r="R207" s="256">
        <f t="shared" si="25"/>
        <v>13.219989999999999</v>
      </c>
    </row>
    <row r="208" spans="1:18" ht="15" customHeight="1">
      <c r="A208" s="246" t="s">
        <v>572</v>
      </c>
      <c r="B208" s="247">
        <v>6000386</v>
      </c>
      <c r="C208" s="153">
        <v>5842001</v>
      </c>
      <c r="D208" s="252" t="s">
        <v>842</v>
      </c>
      <c r="E208" s="153"/>
      <c r="F208" s="263">
        <v>550</v>
      </c>
      <c r="G208" s="263">
        <v>550</v>
      </c>
      <c r="H208" s="264">
        <f t="shared" si="23"/>
        <v>13219.99</v>
      </c>
      <c r="I208" s="263">
        <v>11038</v>
      </c>
      <c r="J208" s="263">
        <f t="shared" si="26"/>
        <v>835.17000000000007</v>
      </c>
      <c r="K208" s="263">
        <f t="shared" si="27"/>
        <v>253.89</v>
      </c>
      <c r="L208" s="263">
        <v>1092.93</v>
      </c>
      <c r="M208" s="153"/>
      <c r="N208" s="252"/>
      <c r="O208" s="268">
        <f t="shared" si="24"/>
        <v>-12669.99</v>
      </c>
      <c r="P208" s="252" t="s">
        <v>755</v>
      </c>
      <c r="Q208" s="252"/>
      <c r="R208" s="256">
        <f t="shared" si="25"/>
        <v>13.219989999999999</v>
      </c>
    </row>
    <row r="209" spans="1:18" ht="15" customHeight="1">
      <c r="A209" s="246" t="s">
        <v>572</v>
      </c>
      <c r="B209" s="247">
        <v>6000386</v>
      </c>
      <c r="C209" s="153">
        <v>5773001</v>
      </c>
      <c r="D209" s="252" t="s">
        <v>843</v>
      </c>
      <c r="E209" s="153"/>
      <c r="F209" s="263">
        <v>550</v>
      </c>
      <c r="G209" s="263">
        <v>550</v>
      </c>
      <c r="H209" s="264">
        <f t="shared" si="23"/>
        <v>13219.99</v>
      </c>
      <c r="I209" s="263">
        <v>11038</v>
      </c>
      <c r="J209" s="263">
        <f t="shared" si="26"/>
        <v>835.17000000000007</v>
      </c>
      <c r="K209" s="263">
        <f t="shared" si="27"/>
        <v>253.89</v>
      </c>
      <c r="L209" s="263">
        <v>1092.93</v>
      </c>
      <c r="M209" s="153"/>
      <c r="N209" s="252"/>
      <c r="O209" s="268">
        <f t="shared" si="24"/>
        <v>-12669.99</v>
      </c>
      <c r="P209" s="252" t="s">
        <v>755</v>
      </c>
      <c r="Q209" s="252"/>
      <c r="R209" s="256">
        <f t="shared" si="25"/>
        <v>13.219989999999999</v>
      </c>
    </row>
    <row r="210" spans="1:18" ht="15" customHeight="1">
      <c r="A210" s="246" t="s">
        <v>572</v>
      </c>
      <c r="B210" s="247">
        <v>6000386</v>
      </c>
      <c r="C210" s="153">
        <v>5777001</v>
      </c>
      <c r="D210" s="252" t="s">
        <v>844</v>
      </c>
      <c r="E210" s="153"/>
      <c r="F210" s="263">
        <v>550</v>
      </c>
      <c r="G210" s="263">
        <v>550</v>
      </c>
      <c r="H210" s="264">
        <f t="shared" si="23"/>
        <v>13219.99</v>
      </c>
      <c r="I210" s="263">
        <v>11038</v>
      </c>
      <c r="J210" s="263">
        <f t="shared" si="26"/>
        <v>835.17000000000007</v>
      </c>
      <c r="K210" s="263">
        <f t="shared" si="27"/>
        <v>253.89</v>
      </c>
      <c r="L210" s="263">
        <v>1092.93</v>
      </c>
      <c r="M210" s="153"/>
      <c r="N210" s="252"/>
      <c r="O210" s="268">
        <f t="shared" si="24"/>
        <v>-12669.99</v>
      </c>
      <c r="P210" s="252" t="s">
        <v>755</v>
      </c>
      <c r="Q210" s="252"/>
      <c r="R210" s="256">
        <f t="shared" si="25"/>
        <v>13.219989999999999</v>
      </c>
    </row>
    <row r="211" spans="1:18" ht="15" customHeight="1">
      <c r="A211" s="246" t="s">
        <v>572</v>
      </c>
      <c r="B211" s="247">
        <v>6000386</v>
      </c>
      <c r="C211" s="153">
        <v>5857001</v>
      </c>
      <c r="D211" s="252" t="s">
        <v>845</v>
      </c>
      <c r="E211" s="153"/>
      <c r="F211" s="263">
        <v>550</v>
      </c>
      <c r="G211" s="263">
        <v>550</v>
      </c>
      <c r="H211" s="264">
        <f t="shared" si="23"/>
        <v>13219.99</v>
      </c>
      <c r="I211" s="263">
        <v>11038</v>
      </c>
      <c r="J211" s="263">
        <f t="shared" si="26"/>
        <v>835.17000000000007</v>
      </c>
      <c r="K211" s="263">
        <f t="shared" si="27"/>
        <v>253.89</v>
      </c>
      <c r="L211" s="263">
        <v>1092.93</v>
      </c>
      <c r="M211" s="153"/>
      <c r="N211" s="252"/>
      <c r="O211" s="268">
        <f t="shared" si="24"/>
        <v>-12669.99</v>
      </c>
      <c r="P211" s="252" t="s">
        <v>755</v>
      </c>
      <c r="Q211" s="252"/>
      <c r="R211" s="256">
        <f t="shared" si="25"/>
        <v>13.219989999999999</v>
      </c>
    </row>
    <row r="212" spans="1:18" ht="15" customHeight="1">
      <c r="A212" s="246" t="s">
        <v>572</v>
      </c>
      <c r="B212" s="247">
        <v>6000386</v>
      </c>
      <c r="C212" s="153">
        <v>5772001</v>
      </c>
      <c r="D212" s="252" t="s">
        <v>846</v>
      </c>
      <c r="E212" s="153"/>
      <c r="F212" s="263">
        <v>550</v>
      </c>
      <c r="G212" s="263">
        <v>550</v>
      </c>
      <c r="H212" s="264">
        <f t="shared" si="23"/>
        <v>13219.99</v>
      </c>
      <c r="I212" s="263">
        <v>11038</v>
      </c>
      <c r="J212" s="263">
        <f t="shared" si="26"/>
        <v>835.17000000000007</v>
      </c>
      <c r="K212" s="263">
        <f t="shared" si="27"/>
        <v>253.89</v>
      </c>
      <c r="L212" s="263">
        <v>1092.93</v>
      </c>
      <c r="M212" s="153"/>
      <c r="N212" s="252"/>
      <c r="O212" s="268">
        <f t="shared" si="24"/>
        <v>-12669.99</v>
      </c>
      <c r="P212" s="252" t="s">
        <v>755</v>
      </c>
      <c r="Q212" s="252"/>
      <c r="R212" s="256">
        <f t="shared" si="25"/>
        <v>13.219989999999999</v>
      </c>
    </row>
    <row r="213" spans="1:18" ht="15" customHeight="1">
      <c r="A213" s="246" t="s">
        <v>572</v>
      </c>
      <c r="B213" s="247">
        <v>6000386</v>
      </c>
      <c r="C213" s="153">
        <v>5855001</v>
      </c>
      <c r="D213" s="252" t="s">
        <v>847</v>
      </c>
      <c r="E213" s="153"/>
      <c r="F213" s="263">
        <v>550</v>
      </c>
      <c r="G213" s="263">
        <v>550</v>
      </c>
      <c r="H213" s="264">
        <f t="shared" si="23"/>
        <v>13219.99</v>
      </c>
      <c r="I213" s="263">
        <v>11038</v>
      </c>
      <c r="J213" s="263">
        <f t="shared" si="26"/>
        <v>835.17000000000007</v>
      </c>
      <c r="K213" s="263">
        <f t="shared" si="27"/>
        <v>253.89</v>
      </c>
      <c r="L213" s="263">
        <v>1092.93</v>
      </c>
      <c r="M213" s="153"/>
      <c r="N213" s="252"/>
      <c r="O213" s="268">
        <f t="shared" si="24"/>
        <v>-12669.99</v>
      </c>
      <c r="P213" s="252" t="s">
        <v>755</v>
      </c>
      <c r="Q213" s="252"/>
      <c r="R213" s="256">
        <f t="shared" si="25"/>
        <v>13.219989999999999</v>
      </c>
    </row>
    <row r="214" spans="1:18" ht="15" customHeight="1">
      <c r="A214" s="246" t="s">
        <v>572</v>
      </c>
      <c r="B214" s="247">
        <v>6000386</v>
      </c>
      <c r="C214" s="153">
        <v>5850001</v>
      </c>
      <c r="D214" s="252" t="s">
        <v>848</v>
      </c>
      <c r="E214" s="153"/>
      <c r="F214" s="263">
        <v>550</v>
      </c>
      <c r="G214" s="263">
        <v>550</v>
      </c>
      <c r="H214" s="264">
        <f t="shared" si="23"/>
        <v>13219.99</v>
      </c>
      <c r="I214" s="263">
        <v>11038</v>
      </c>
      <c r="J214" s="263">
        <f t="shared" si="26"/>
        <v>835.17000000000007</v>
      </c>
      <c r="K214" s="263">
        <f t="shared" si="27"/>
        <v>253.89</v>
      </c>
      <c r="L214" s="263">
        <v>1092.93</v>
      </c>
      <c r="M214" s="153"/>
      <c r="N214" s="252"/>
      <c r="O214" s="268">
        <f t="shared" si="24"/>
        <v>-12669.99</v>
      </c>
      <c r="P214" s="252" t="s">
        <v>755</v>
      </c>
      <c r="Q214" s="252"/>
      <c r="R214" s="256">
        <f t="shared" si="25"/>
        <v>13.219989999999999</v>
      </c>
    </row>
    <row r="215" spans="1:18" ht="15" customHeight="1">
      <c r="A215" s="246" t="s">
        <v>572</v>
      </c>
      <c r="B215" s="247">
        <v>6000386</v>
      </c>
      <c r="C215" s="153">
        <v>5887001</v>
      </c>
      <c r="D215" s="252" t="s">
        <v>849</v>
      </c>
      <c r="E215" s="153"/>
      <c r="F215" s="263">
        <v>550</v>
      </c>
      <c r="G215" s="263">
        <v>550</v>
      </c>
      <c r="H215" s="264">
        <f t="shared" si="23"/>
        <v>13219.99</v>
      </c>
      <c r="I215" s="263">
        <v>11038</v>
      </c>
      <c r="J215" s="263">
        <f t="shared" si="26"/>
        <v>835.17000000000007</v>
      </c>
      <c r="K215" s="263">
        <f t="shared" si="27"/>
        <v>253.89</v>
      </c>
      <c r="L215" s="263">
        <v>1092.93</v>
      </c>
      <c r="M215" s="153"/>
      <c r="N215" s="252"/>
      <c r="O215" s="268">
        <f t="shared" si="24"/>
        <v>-12669.99</v>
      </c>
      <c r="P215" s="252" t="s">
        <v>755</v>
      </c>
      <c r="Q215" s="252"/>
      <c r="R215" s="256">
        <f t="shared" si="25"/>
        <v>13.219989999999999</v>
      </c>
    </row>
    <row r="216" spans="1:18" ht="15" customHeight="1">
      <c r="A216" s="246" t="s">
        <v>572</v>
      </c>
      <c r="B216" s="247">
        <v>6000386</v>
      </c>
      <c r="C216" s="153">
        <v>5878001</v>
      </c>
      <c r="D216" s="252" t="s">
        <v>850</v>
      </c>
      <c r="E216" s="153"/>
      <c r="F216" s="263">
        <v>550</v>
      </c>
      <c r="G216" s="263">
        <v>550</v>
      </c>
      <c r="H216" s="264">
        <f t="shared" si="23"/>
        <v>13219.99</v>
      </c>
      <c r="I216" s="263">
        <v>11038</v>
      </c>
      <c r="J216" s="263">
        <f t="shared" si="26"/>
        <v>835.17000000000007</v>
      </c>
      <c r="K216" s="263">
        <f t="shared" si="27"/>
        <v>253.89</v>
      </c>
      <c r="L216" s="263">
        <v>1092.93</v>
      </c>
      <c r="M216" s="153"/>
      <c r="N216" s="252"/>
      <c r="O216" s="268">
        <f t="shared" si="24"/>
        <v>-12669.99</v>
      </c>
      <c r="P216" s="252" t="s">
        <v>755</v>
      </c>
      <c r="Q216" s="252"/>
      <c r="R216" s="256">
        <f t="shared" si="25"/>
        <v>13.219989999999999</v>
      </c>
    </row>
    <row r="217" spans="1:18" ht="15" customHeight="1">
      <c r="A217" s="246" t="s">
        <v>572</v>
      </c>
      <c r="B217" s="247">
        <v>6000386</v>
      </c>
      <c r="C217" s="153">
        <v>5885001</v>
      </c>
      <c r="D217" s="252" t="s">
        <v>851</v>
      </c>
      <c r="E217" s="153"/>
      <c r="F217" s="263">
        <v>550</v>
      </c>
      <c r="G217" s="263">
        <v>550</v>
      </c>
      <c r="H217" s="264">
        <f t="shared" si="23"/>
        <v>13219.99</v>
      </c>
      <c r="I217" s="263">
        <v>11038</v>
      </c>
      <c r="J217" s="263">
        <f t="shared" si="26"/>
        <v>835.17000000000007</v>
      </c>
      <c r="K217" s="263">
        <f t="shared" si="27"/>
        <v>253.89</v>
      </c>
      <c r="L217" s="263">
        <v>1092.93</v>
      </c>
      <c r="M217" s="153"/>
      <c r="N217" s="252"/>
      <c r="O217" s="268">
        <f t="shared" si="24"/>
        <v>-12669.99</v>
      </c>
      <c r="P217" s="252" t="s">
        <v>755</v>
      </c>
      <c r="Q217" s="252"/>
      <c r="R217" s="256">
        <f t="shared" si="25"/>
        <v>13.219989999999999</v>
      </c>
    </row>
    <row r="218" spans="1:18" ht="15" customHeight="1">
      <c r="A218" s="246" t="s">
        <v>572</v>
      </c>
      <c r="B218" s="247">
        <v>6000386</v>
      </c>
      <c r="C218" s="153">
        <v>5890001</v>
      </c>
      <c r="D218" s="252" t="s">
        <v>852</v>
      </c>
      <c r="E218" s="153"/>
      <c r="F218" s="263">
        <v>550</v>
      </c>
      <c r="G218" s="263">
        <v>550</v>
      </c>
      <c r="H218" s="264">
        <f t="shared" si="23"/>
        <v>13219.99</v>
      </c>
      <c r="I218" s="263">
        <v>11038</v>
      </c>
      <c r="J218" s="263">
        <f t="shared" si="26"/>
        <v>835.17000000000007</v>
      </c>
      <c r="K218" s="263">
        <f t="shared" si="27"/>
        <v>253.89</v>
      </c>
      <c r="L218" s="263">
        <v>1092.93</v>
      </c>
      <c r="M218" s="153"/>
      <c r="N218" s="252"/>
      <c r="O218" s="268">
        <f t="shared" si="24"/>
        <v>-12669.99</v>
      </c>
      <c r="P218" s="252" t="s">
        <v>755</v>
      </c>
      <c r="Q218" s="252"/>
      <c r="R218" s="256">
        <f t="shared" si="25"/>
        <v>13.219989999999999</v>
      </c>
    </row>
    <row r="219" spans="1:18" ht="15" customHeight="1">
      <c r="A219" s="246" t="s">
        <v>572</v>
      </c>
      <c r="B219" s="247">
        <v>6000386</v>
      </c>
      <c r="C219" s="153">
        <v>5790001</v>
      </c>
      <c r="D219" s="252" t="s">
        <v>431</v>
      </c>
      <c r="E219" s="153"/>
      <c r="F219" s="263">
        <v>550</v>
      </c>
      <c r="G219" s="263">
        <v>550</v>
      </c>
      <c r="H219" s="264">
        <f t="shared" si="23"/>
        <v>13219.99</v>
      </c>
      <c r="I219" s="263">
        <v>11038</v>
      </c>
      <c r="J219" s="263">
        <f t="shared" si="26"/>
        <v>835.17000000000007</v>
      </c>
      <c r="K219" s="263">
        <f t="shared" si="27"/>
        <v>253.89</v>
      </c>
      <c r="L219" s="263">
        <v>1092.93</v>
      </c>
      <c r="M219" s="153"/>
      <c r="N219" s="252"/>
      <c r="O219" s="268">
        <f t="shared" si="24"/>
        <v>-12669.99</v>
      </c>
      <c r="P219" s="252" t="s">
        <v>755</v>
      </c>
      <c r="Q219" s="252"/>
      <c r="R219" s="256">
        <f t="shared" si="25"/>
        <v>13.219989999999999</v>
      </c>
    </row>
    <row r="220" spans="1:18" ht="15" customHeight="1">
      <c r="A220" s="246" t="s">
        <v>572</v>
      </c>
      <c r="B220" s="247">
        <v>6000386</v>
      </c>
      <c r="C220" s="153">
        <v>5790002</v>
      </c>
      <c r="D220" s="252" t="s">
        <v>431</v>
      </c>
      <c r="E220" s="153"/>
      <c r="F220" s="263">
        <v>45947.45</v>
      </c>
      <c r="G220" s="263">
        <v>45947.45</v>
      </c>
      <c r="H220" s="264">
        <f t="shared" si="23"/>
        <v>13219.99</v>
      </c>
      <c r="I220" s="263">
        <v>11038</v>
      </c>
      <c r="J220" s="263">
        <f t="shared" si="26"/>
        <v>835.17000000000007</v>
      </c>
      <c r="K220" s="263">
        <f t="shared" si="27"/>
        <v>253.89</v>
      </c>
      <c r="L220" s="263">
        <v>1092.93</v>
      </c>
      <c r="M220" s="153"/>
      <c r="N220" s="252"/>
      <c r="O220" s="268">
        <f t="shared" si="24"/>
        <v>32727.46</v>
      </c>
      <c r="P220" s="252" t="s">
        <v>755</v>
      </c>
      <c r="Q220" s="252"/>
    </row>
    <row r="221" spans="1:18" ht="15" customHeight="1">
      <c r="A221" s="246" t="s">
        <v>572</v>
      </c>
      <c r="B221" s="247">
        <v>6000386</v>
      </c>
      <c r="C221" s="153">
        <v>5825001</v>
      </c>
      <c r="D221" s="252" t="s">
        <v>853</v>
      </c>
      <c r="E221" s="153"/>
      <c r="F221" s="263">
        <v>550</v>
      </c>
      <c r="G221" s="263">
        <v>550</v>
      </c>
      <c r="H221" s="264">
        <f t="shared" si="23"/>
        <v>13219.99</v>
      </c>
      <c r="I221" s="263">
        <v>11038</v>
      </c>
      <c r="J221" s="263">
        <f t="shared" si="26"/>
        <v>835.17000000000007</v>
      </c>
      <c r="K221" s="263">
        <f t="shared" si="27"/>
        <v>253.89</v>
      </c>
      <c r="L221" s="263">
        <v>1092.93</v>
      </c>
      <c r="M221" s="153"/>
      <c r="N221" s="252"/>
      <c r="O221" s="268">
        <f t="shared" si="24"/>
        <v>-12669.99</v>
      </c>
      <c r="P221" s="252" t="s">
        <v>755</v>
      </c>
      <c r="Q221" s="252"/>
      <c r="R221" s="256">
        <f t="shared" ref="R221:R224" si="28">H221/1000</f>
        <v>13.219989999999999</v>
      </c>
    </row>
    <row r="222" spans="1:18" ht="15" customHeight="1">
      <c r="A222" s="246" t="s">
        <v>572</v>
      </c>
      <c r="B222" s="247">
        <v>6000386</v>
      </c>
      <c r="C222" s="58">
        <v>5821001</v>
      </c>
      <c r="D222" s="246" t="s">
        <v>854</v>
      </c>
      <c r="E222" s="58"/>
      <c r="F222" s="265">
        <v>550</v>
      </c>
      <c r="G222" s="265">
        <v>550</v>
      </c>
      <c r="H222" s="266">
        <f t="shared" si="23"/>
        <v>13219.99</v>
      </c>
      <c r="I222" s="265">
        <v>11038</v>
      </c>
      <c r="J222" s="265">
        <f t="shared" si="26"/>
        <v>835.17000000000007</v>
      </c>
      <c r="K222" s="265">
        <f t="shared" si="27"/>
        <v>253.89</v>
      </c>
      <c r="L222" s="265">
        <v>1092.93</v>
      </c>
      <c r="M222" s="58"/>
      <c r="N222" s="246"/>
      <c r="O222" s="268">
        <f t="shared" si="24"/>
        <v>-12669.99</v>
      </c>
      <c r="P222" s="252" t="s">
        <v>755</v>
      </c>
      <c r="Q222" s="252"/>
      <c r="R222" s="256">
        <f t="shared" si="28"/>
        <v>13.219989999999999</v>
      </c>
    </row>
    <row r="223" spans="1:18" ht="15" customHeight="1">
      <c r="A223" s="246" t="s">
        <v>572</v>
      </c>
      <c r="B223" s="247">
        <v>6000386</v>
      </c>
      <c r="C223" s="153">
        <v>5787001</v>
      </c>
      <c r="D223" s="252" t="s">
        <v>855</v>
      </c>
      <c r="E223" s="153"/>
      <c r="F223" s="263">
        <v>550</v>
      </c>
      <c r="G223" s="263">
        <v>550</v>
      </c>
      <c r="H223" s="266">
        <f t="shared" si="23"/>
        <v>13219.99</v>
      </c>
      <c r="I223" s="265">
        <v>11038</v>
      </c>
      <c r="J223" s="265">
        <f t="shared" si="26"/>
        <v>835.17000000000007</v>
      </c>
      <c r="K223" s="265">
        <f t="shared" si="27"/>
        <v>253.89</v>
      </c>
      <c r="L223" s="265">
        <v>1092.93</v>
      </c>
      <c r="M223" s="153"/>
      <c r="N223" s="252"/>
      <c r="O223" s="268">
        <f t="shared" si="24"/>
        <v>-12669.99</v>
      </c>
      <c r="P223" s="252" t="s">
        <v>755</v>
      </c>
      <c r="Q223" s="252"/>
      <c r="R223" s="256">
        <f t="shared" si="28"/>
        <v>13.219989999999999</v>
      </c>
    </row>
    <row r="224" spans="1:18" ht="15" customHeight="1">
      <c r="A224" s="246" t="s">
        <v>572</v>
      </c>
      <c r="B224" s="247">
        <v>6000386</v>
      </c>
      <c r="C224" s="153">
        <v>5873001</v>
      </c>
      <c r="D224" s="252" t="s">
        <v>856</v>
      </c>
      <c r="E224" s="153"/>
      <c r="F224" s="263">
        <v>550</v>
      </c>
      <c r="G224" s="263">
        <v>550</v>
      </c>
      <c r="H224" s="266">
        <f t="shared" si="23"/>
        <v>13219.99</v>
      </c>
      <c r="I224" s="265">
        <v>11038</v>
      </c>
      <c r="J224" s="265">
        <f t="shared" si="26"/>
        <v>835.17000000000007</v>
      </c>
      <c r="K224" s="265">
        <f t="shared" si="27"/>
        <v>253.89</v>
      </c>
      <c r="L224" s="265">
        <v>1092.93</v>
      </c>
      <c r="M224" s="153"/>
      <c r="N224" s="252"/>
      <c r="O224" s="268">
        <f t="shared" si="24"/>
        <v>-12669.99</v>
      </c>
      <c r="P224" s="252" t="s">
        <v>755</v>
      </c>
      <c r="Q224" s="252"/>
      <c r="R224" s="256">
        <f t="shared" si="28"/>
        <v>13.219989999999999</v>
      </c>
    </row>
    <row r="225" spans="1:19" ht="15" customHeight="1">
      <c r="A225" s="246" t="s">
        <v>572</v>
      </c>
      <c r="B225" s="247">
        <v>6000386</v>
      </c>
      <c r="C225" s="153">
        <v>5705001</v>
      </c>
      <c r="D225" s="252" t="s">
        <v>857</v>
      </c>
      <c r="E225" s="153"/>
      <c r="F225" s="263">
        <v>93889.74</v>
      </c>
      <c r="G225" s="263">
        <v>93889.74</v>
      </c>
      <c r="H225" s="266">
        <f t="shared" si="23"/>
        <v>6492.93</v>
      </c>
      <c r="I225" s="263">
        <v>4273.38</v>
      </c>
      <c r="J225" s="263">
        <f>849.57+317.28</f>
        <v>1166.8499999999999</v>
      </c>
      <c r="K225" s="263">
        <f>258.27+96.45</f>
        <v>354.71999999999997</v>
      </c>
      <c r="L225" s="263">
        <v>697.98</v>
      </c>
      <c r="M225" s="153"/>
      <c r="N225" s="252"/>
      <c r="O225" s="268">
        <f t="shared" si="24"/>
        <v>87396.81</v>
      </c>
      <c r="P225" s="252"/>
      <c r="Q225" s="252"/>
    </row>
    <row r="226" spans="1:19" ht="15" customHeight="1">
      <c r="A226" s="246" t="s">
        <v>572</v>
      </c>
      <c r="B226" s="247">
        <v>6000386</v>
      </c>
      <c r="C226" s="153">
        <v>1382002</v>
      </c>
      <c r="D226" s="252" t="s">
        <v>858</v>
      </c>
      <c r="E226" s="153"/>
      <c r="F226" s="263">
        <v>36129.86</v>
      </c>
      <c r="G226" s="263">
        <v>36129.86</v>
      </c>
      <c r="H226" s="266">
        <f t="shared" si="23"/>
        <v>19187.91</v>
      </c>
      <c r="I226" s="263">
        <v>16185.37</v>
      </c>
      <c r="J226" s="263">
        <f>1132.75+634.55</f>
        <v>1767.3</v>
      </c>
      <c r="K226" s="263">
        <f>344.36+192.9</f>
        <v>537.26</v>
      </c>
      <c r="L226" s="263">
        <v>697.98</v>
      </c>
      <c r="M226" s="153"/>
      <c r="N226" s="252"/>
      <c r="O226" s="268">
        <f t="shared" si="24"/>
        <v>16941.95</v>
      </c>
      <c r="P226" s="252" t="s">
        <v>724</v>
      </c>
      <c r="Q226" s="252" t="s">
        <v>859</v>
      </c>
    </row>
    <row r="227" spans="1:19" ht="15" customHeight="1">
      <c r="A227" s="246" t="s">
        <v>572</v>
      </c>
      <c r="B227" s="247">
        <v>6000386</v>
      </c>
      <c r="C227" s="153">
        <v>846144</v>
      </c>
      <c r="D227" s="252" t="s">
        <v>149</v>
      </c>
      <c r="E227" s="153"/>
      <c r="F227" s="263">
        <v>36129.86</v>
      </c>
      <c r="G227" s="263">
        <v>36129.86</v>
      </c>
      <c r="H227" s="266">
        <f t="shared" si="23"/>
        <v>11272.06</v>
      </c>
      <c r="I227" s="263">
        <v>9052.51</v>
      </c>
      <c r="J227" s="263">
        <f>849.57+317.28</f>
        <v>1166.8499999999999</v>
      </c>
      <c r="K227" s="263">
        <f>258.27+96.45</f>
        <v>354.71999999999997</v>
      </c>
      <c r="L227" s="263">
        <v>697.98</v>
      </c>
      <c r="M227" s="153"/>
      <c r="N227" s="252"/>
      <c r="O227" s="268">
        <f t="shared" si="24"/>
        <v>24857.800000000003</v>
      </c>
      <c r="P227" s="252" t="s">
        <v>789</v>
      </c>
      <c r="Q227" s="252" t="s">
        <v>860</v>
      </c>
    </row>
    <row r="228" spans="1:19" ht="15" customHeight="1">
      <c r="A228" s="246" t="s">
        <v>572</v>
      </c>
      <c r="B228" s="247">
        <v>6000386</v>
      </c>
      <c r="C228" s="153">
        <v>5535002</v>
      </c>
      <c r="D228" s="252" t="s">
        <v>370</v>
      </c>
      <c r="E228" s="153"/>
      <c r="F228" s="263">
        <v>17821.28</v>
      </c>
      <c r="G228" s="263">
        <v>17821.28</v>
      </c>
      <c r="H228" s="266">
        <f t="shared" si="23"/>
        <v>23943.11</v>
      </c>
      <c r="I228" s="263">
        <v>21723.56</v>
      </c>
      <c r="J228" s="263">
        <f>849.57+317.28</f>
        <v>1166.8499999999999</v>
      </c>
      <c r="K228" s="263">
        <f>258.27+96.45</f>
        <v>354.71999999999997</v>
      </c>
      <c r="L228" s="263">
        <v>697.98</v>
      </c>
      <c r="M228" s="153"/>
      <c r="N228" s="252"/>
      <c r="O228" s="268">
        <f t="shared" si="24"/>
        <v>-6121.8300000000017</v>
      </c>
      <c r="P228" s="252" t="s">
        <v>724</v>
      </c>
      <c r="Q228" s="252" t="s">
        <v>861</v>
      </c>
      <c r="R228" s="158">
        <f t="shared" ref="R228:R229" si="29">F228/1.2/1000</f>
        <v>14.851066666666666</v>
      </c>
      <c r="S228" s="158">
        <f t="shared" ref="S228:S229" si="30">H228/1000</f>
        <v>23.943110000000001</v>
      </c>
    </row>
    <row r="229" spans="1:19" ht="15" customHeight="1">
      <c r="A229" s="246" t="s">
        <v>572</v>
      </c>
      <c r="B229" s="247">
        <v>6000386</v>
      </c>
      <c r="C229" s="153">
        <v>5557002</v>
      </c>
      <c r="D229" s="252" t="s">
        <v>862</v>
      </c>
      <c r="E229" s="153"/>
      <c r="F229" s="263">
        <v>17821.28</v>
      </c>
      <c r="G229" s="263">
        <v>17821.28</v>
      </c>
      <c r="H229" s="266">
        <f t="shared" si="23"/>
        <v>23803.18</v>
      </c>
      <c r="I229" s="263">
        <v>21583.63</v>
      </c>
      <c r="J229" s="263">
        <f>849.57+317.28</f>
        <v>1166.8499999999999</v>
      </c>
      <c r="K229" s="263">
        <f>258.27+96.45</f>
        <v>354.71999999999997</v>
      </c>
      <c r="L229" s="263">
        <v>697.98</v>
      </c>
      <c r="M229" s="153"/>
      <c r="N229" s="252"/>
      <c r="O229" s="268">
        <f t="shared" si="24"/>
        <v>-5981.9000000000015</v>
      </c>
      <c r="P229" s="252" t="s">
        <v>724</v>
      </c>
      <c r="Q229" s="252" t="s">
        <v>863</v>
      </c>
      <c r="R229" s="158">
        <f t="shared" si="29"/>
        <v>14.851066666666666</v>
      </c>
      <c r="S229" s="158">
        <f t="shared" si="30"/>
        <v>23.803180000000001</v>
      </c>
    </row>
    <row r="230" spans="1:19" ht="15" customHeight="1">
      <c r="A230" s="246" t="s">
        <v>572</v>
      </c>
      <c r="B230" s="247">
        <v>6000386</v>
      </c>
      <c r="C230" s="153">
        <v>5432002</v>
      </c>
      <c r="D230" s="252" t="s">
        <v>864</v>
      </c>
      <c r="E230" s="153"/>
      <c r="F230" s="263">
        <v>55872.78</v>
      </c>
      <c r="G230" s="263">
        <v>55872.78</v>
      </c>
      <c r="H230" s="266">
        <f t="shared" si="23"/>
        <v>17318.439999999999</v>
      </c>
      <c r="I230" s="263">
        <v>15098.89</v>
      </c>
      <c r="J230" s="263">
        <f>849.57+317.28</f>
        <v>1166.8499999999999</v>
      </c>
      <c r="K230" s="263">
        <f>258.27+96.45</f>
        <v>354.71999999999997</v>
      </c>
      <c r="L230" s="263">
        <v>697.98</v>
      </c>
      <c r="M230" s="153"/>
      <c r="N230" s="252"/>
      <c r="O230" s="268">
        <f t="shared" si="24"/>
        <v>38554.339999999997</v>
      </c>
      <c r="P230" s="252" t="s">
        <v>573</v>
      </c>
      <c r="Q230" s="252" t="s">
        <v>865</v>
      </c>
    </row>
    <row r="231" spans="1:19" ht="15" customHeight="1">
      <c r="A231" s="246" t="s">
        <v>572</v>
      </c>
      <c r="B231" s="247">
        <v>6000386</v>
      </c>
      <c r="C231" s="153">
        <v>5534005</v>
      </c>
      <c r="D231" s="252" t="s">
        <v>420</v>
      </c>
      <c r="E231" s="153"/>
      <c r="F231" s="263">
        <v>60362.82</v>
      </c>
      <c r="G231" s="263">
        <v>27163.27</v>
      </c>
      <c r="H231" s="266">
        <f t="shared" si="23"/>
        <v>21751.73</v>
      </c>
      <c r="I231" s="263">
        <v>19532.18</v>
      </c>
      <c r="J231" s="263">
        <f>849.57+317.28</f>
        <v>1166.8499999999999</v>
      </c>
      <c r="K231" s="263">
        <f>258.27+96.45</f>
        <v>354.71999999999997</v>
      </c>
      <c r="L231" s="263">
        <v>697.98</v>
      </c>
      <c r="M231" s="153"/>
      <c r="N231" s="252"/>
      <c r="O231" s="268">
        <f t="shared" si="24"/>
        <v>5411.5400000000009</v>
      </c>
      <c r="P231" s="252" t="s">
        <v>573</v>
      </c>
      <c r="Q231" s="252" t="s">
        <v>866</v>
      </c>
    </row>
    <row r="232" spans="1:19" ht="15" customHeight="1">
      <c r="A232" s="246" t="s">
        <v>572</v>
      </c>
      <c r="B232" s="247">
        <v>6000386</v>
      </c>
      <c r="C232" s="153">
        <v>5858001</v>
      </c>
      <c r="D232" s="252" t="s">
        <v>867</v>
      </c>
      <c r="E232" s="153"/>
      <c r="F232" s="263">
        <v>550</v>
      </c>
      <c r="G232" s="263">
        <v>550</v>
      </c>
      <c r="H232" s="266">
        <f t="shared" si="23"/>
        <v>7803.7000000000007</v>
      </c>
      <c r="I232" s="263">
        <v>5584.15</v>
      </c>
      <c r="J232" s="263">
        <f t="shared" ref="J232:J237" si="31">849.57+317.28</f>
        <v>1166.8499999999999</v>
      </c>
      <c r="K232" s="263">
        <f t="shared" ref="K232:K237" si="32">258.27+96.45</f>
        <v>354.71999999999997</v>
      </c>
      <c r="L232" s="263">
        <v>697.98</v>
      </c>
      <c r="M232" s="153"/>
      <c r="N232" s="252"/>
      <c r="O232" s="268">
        <f t="shared" si="24"/>
        <v>-7253.7000000000007</v>
      </c>
      <c r="P232" s="252" t="s">
        <v>579</v>
      </c>
      <c r="Q232" s="252" t="s">
        <v>868</v>
      </c>
      <c r="R232" s="256">
        <f t="shared" ref="R232:R233" si="33">H232/1000</f>
        <v>7.803700000000001</v>
      </c>
    </row>
    <row r="233" spans="1:19" ht="15" customHeight="1">
      <c r="A233" s="246" t="s">
        <v>572</v>
      </c>
      <c r="B233" s="247">
        <v>6000386</v>
      </c>
      <c r="C233" s="153">
        <v>4973002</v>
      </c>
      <c r="D233" s="252" t="s">
        <v>869</v>
      </c>
      <c r="E233" s="153"/>
      <c r="F233" s="263">
        <v>550</v>
      </c>
      <c r="G233" s="263">
        <v>550</v>
      </c>
      <c r="H233" s="266">
        <f t="shared" si="23"/>
        <v>10995.369999999999</v>
      </c>
      <c r="I233" s="263">
        <v>8775.82</v>
      </c>
      <c r="J233" s="263">
        <f t="shared" si="31"/>
        <v>1166.8499999999999</v>
      </c>
      <c r="K233" s="263">
        <f t="shared" si="32"/>
        <v>354.71999999999997</v>
      </c>
      <c r="L233" s="263">
        <v>697.98</v>
      </c>
      <c r="M233" s="153"/>
      <c r="N233" s="252"/>
      <c r="O233" s="268">
        <f t="shared" si="24"/>
        <v>-10445.369999999999</v>
      </c>
      <c r="P233" s="252" t="s">
        <v>789</v>
      </c>
      <c r="Q233" s="252" t="s">
        <v>870</v>
      </c>
      <c r="R233" s="256">
        <f t="shared" si="33"/>
        <v>10.995369999999999</v>
      </c>
    </row>
    <row r="234" spans="1:19" ht="15" customHeight="1">
      <c r="A234" s="246" t="s">
        <v>572</v>
      </c>
      <c r="B234" s="247">
        <v>6000386</v>
      </c>
      <c r="C234" s="153">
        <v>2467075</v>
      </c>
      <c r="D234" s="252" t="s">
        <v>744</v>
      </c>
      <c r="E234" s="153"/>
      <c r="F234" s="263">
        <v>36129.86</v>
      </c>
      <c r="G234" s="263">
        <v>36129.86</v>
      </c>
      <c r="H234" s="266">
        <f t="shared" si="23"/>
        <v>12241.769999999999</v>
      </c>
      <c r="I234" s="263">
        <v>10022.219999999999</v>
      </c>
      <c r="J234" s="263">
        <f t="shared" si="31"/>
        <v>1166.8499999999999</v>
      </c>
      <c r="K234" s="263">
        <f t="shared" si="32"/>
        <v>354.71999999999997</v>
      </c>
      <c r="L234" s="263">
        <v>697.98</v>
      </c>
      <c r="M234" s="153"/>
      <c r="N234" s="252"/>
      <c r="O234" s="268">
        <f t="shared" si="24"/>
        <v>23888.090000000004</v>
      </c>
      <c r="P234" s="252" t="s">
        <v>789</v>
      </c>
      <c r="Q234" s="252" t="s">
        <v>871</v>
      </c>
    </row>
    <row r="235" spans="1:19" ht="15" customHeight="1">
      <c r="A235" s="246" t="s">
        <v>572</v>
      </c>
      <c r="B235" s="247">
        <v>6000386</v>
      </c>
      <c r="C235" s="153">
        <v>5743001</v>
      </c>
      <c r="D235" s="252" t="s">
        <v>872</v>
      </c>
      <c r="E235" s="153"/>
      <c r="F235" s="263">
        <v>550</v>
      </c>
      <c r="G235" s="263">
        <v>550</v>
      </c>
      <c r="H235" s="266">
        <f t="shared" si="23"/>
        <v>13609.679999999998</v>
      </c>
      <c r="I235" s="263">
        <v>11390.13</v>
      </c>
      <c r="J235" s="263">
        <f t="shared" si="31"/>
        <v>1166.8499999999999</v>
      </c>
      <c r="K235" s="263">
        <f t="shared" si="32"/>
        <v>354.71999999999997</v>
      </c>
      <c r="L235" s="263">
        <v>697.98</v>
      </c>
      <c r="M235" s="153"/>
      <c r="N235" s="252"/>
      <c r="O235" s="268">
        <f t="shared" si="24"/>
        <v>-13059.679999999998</v>
      </c>
      <c r="P235" s="252" t="s">
        <v>789</v>
      </c>
      <c r="Q235" s="252" t="s">
        <v>873</v>
      </c>
      <c r="R235" s="256">
        <f>H235/1000</f>
        <v>13.609679999999999</v>
      </c>
    </row>
    <row r="236" spans="1:19" ht="15" customHeight="1">
      <c r="A236" s="246" t="s">
        <v>572</v>
      </c>
      <c r="B236" s="247">
        <v>6000386</v>
      </c>
      <c r="C236" s="153">
        <v>5743002</v>
      </c>
      <c r="D236" s="252" t="s">
        <v>872</v>
      </c>
      <c r="E236" s="153"/>
      <c r="F236" s="263">
        <v>45947.45</v>
      </c>
      <c r="G236" s="263">
        <v>45947.45</v>
      </c>
      <c r="H236" s="266">
        <f t="shared" si="23"/>
        <v>13615.429999999998</v>
      </c>
      <c r="I236" s="263">
        <v>11395.88</v>
      </c>
      <c r="J236" s="263">
        <f t="shared" si="31"/>
        <v>1166.8499999999999</v>
      </c>
      <c r="K236" s="263">
        <f t="shared" si="32"/>
        <v>354.71999999999997</v>
      </c>
      <c r="L236" s="263">
        <v>697.98</v>
      </c>
      <c r="M236" s="153"/>
      <c r="N236" s="252"/>
      <c r="O236" s="268">
        <f t="shared" si="24"/>
        <v>32332.019999999997</v>
      </c>
      <c r="P236" s="252" t="s">
        <v>789</v>
      </c>
      <c r="Q236" s="252" t="s">
        <v>874</v>
      </c>
    </row>
    <row r="237" spans="1:19" ht="15" customHeight="1">
      <c r="A237" s="246" t="s">
        <v>572</v>
      </c>
      <c r="B237" s="247">
        <v>6000386</v>
      </c>
      <c r="C237" s="153">
        <v>846129</v>
      </c>
      <c r="D237" s="252" t="s">
        <v>149</v>
      </c>
      <c r="E237" s="153"/>
      <c r="F237" s="263">
        <v>17821.28</v>
      </c>
      <c r="G237" s="263">
        <v>17821.28</v>
      </c>
      <c r="H237" s="266">
        <f t="shared" si="23"/>
        <v>33930.870000000003</v>
      </c>
      <c r="I237" s="263">
        <v>31711.32</v>
      </c>
      <c r="J237" s="263">
        <f t="shared" si="31"/>
        <v>1166.8499999999999</v>
      </c>
      <c r="K237" s="263">
        <f t="shared" si="32"/>
        <v>354.71999999999997</v>
      </c>
      <c r="L237" s="263">
        <v>697.98</v>
      </c>
      <c r="M237" s="153"/>
      <c r="N237" s="252"/>
      <c r="O237" s="268">
        <f t="shared" si="24"/>
        <v>-16109.590000000004</v>
      </c>
      <c r="P237" s="252" t="s">
        <v>724</v>
      </c>
      <c r="Q237" s="252" t="s">
        <v>875</v>
      </c>
      <c r="R237" s="158">
        <f>F237/1.2/1000</f>
        <v>14.851066666666666</v>
      </c>
      <c r="S237" s="158">
        <f>H237/1000</f>
        <v>33.930870000000006</v>
      </c>
    </row>
    <row r="238" spans="1:19" ht="15" customHeight="1">
      <c r="A238" s="246" t="s">
        <v>572</v>
      </c>
      <c r="B238" s="247">
        <v>6000386</v>
      </c>
      <c r="C238" s="153">
        <v>5900001</v>
      </c>
      <c r="D238" s="252" t="s">
        <v>876</v>
      </c>
      <c r="E238" s="153"/>
      <c r="F238" s="263">
        <v>550</v>
      </c>
      <c r="G238" s="263">
        <v>550</v>
      </c>
      <c r="H238" s="266">
        <f t="shared" si="23"/>
        <v>13221.39</v>
      </c>
      <c r="I238" s="263">
        <v>11038</v>
      </c>
      <c r="J238" s="263">
        <f>502.66+332.51</f>
        <v>835.17000000000007</v>
      </c>
      <c r="K238" s="263">
        <f>152.81+101.08</f>
        <v>253.89</v>
      </c>
      <c r="L238" s="263">
        <v>1094.33</v>
      </c>
      <c r="M238" s="153"/>
      <c r="N238" s="252"/>
      <c r="O238" s="268">
        <f t="shared" si="24"/>
        <v>-12671.39</v>
      </c>
      <c r="P238" s="252" t="s">
        <v>755</v>
      </c>
      <c r="Q238" s="252"/>
      <c r="R238" s="256">
        <f t="shared" ref="R238:R245" si="34">H238/1000</f>
        <v>13.22139</v>
      </c>
    </row>
    <row r="239" spans="1:19" ht="15" customHeight="1">
      <c r="A239" s="246" t="s">
        <v>572</v>
      </c>
      <c r="B239" s="247">
        <v>6000386</v>
      </c>
      <c r="C239" s="153">
        <v>5765001</v>
      </c>
      <c r="D239" s="252" t="s">
        <v>877</v>
      </c>
      <c r="E239" s="153"/>
      <c r="F239" s="263">
        <v>550</v>
      </c>
      <c r="G239" s="263">
        <v>550</v>
      </c>
      <c r="H239" s="266">
        <f t="shared" si="23"/>
        <v>13221.39</v>
      </c>
      <c r="I239" s="263">
        <v>11038</v>
      </c>
      <c r="J239" s="263">
        <f t="shared" ref="J239:J245" si="35">502.66+332.51</f>
        <v>835.17000000000007</v>
      </c>
      <c r="K239" s="263">
        <f t="shared" ref="K239:K245" si="36">152.81+101.08</f>
        <v>253.89</v>
      </c>
      <c r="L239" s="263">
        <v>1094.33</v>
      </c>
      <c r="M239" s="153"/>
      <c r="N239" s="252"/>
      <c r="O239" s="268">
        <f t="shared" si="24"/>
        <v>-12671.39</v>
      </c>
      <c r="P239" s="252" t="s">
        <v>755</v>
      </c>
      <c r="Q239" s="252"/>
      <c r="R239" s="256">
        <f t="shared" si="34"/>
        <v>13.22139</v>
      </c>
    </row>
    <row r="240" spans="1:19" ht="15" customHeight="1">
      <c r="A240" s="246" t="s">
        <v>572</v>
      </c>
      <c r="B240" s="247">
        <v>6000386</v>
      </c>
      <c r="C240" s="153">
        <v>5897001</v>
      </c>
      <c r="D240" s="252" t="s">
        <v>878</v>
      </c>
      <c r="E240" s="153"/>
      <c r="F240" s="263">
        <v>550</v>
      </c>
      <c r="G240" s="263">
        <v>550</v>
      </c>
      <c r="H240" s="266">
        <f t="shared" si="23"/>
        <v>13221.39</v>
      </c>
      <c r="I240" s="263">
        <v>11038</v>
      </c>
      <c r="J240" s="263">
        <f t="shared" si="35"/>
        <v>835.17000000000007</v>
      </c>
      <c r="K240" s="263">
        <f t="shared" si="36"/>
        <v>253.89</v>
      </c>
      <c r="L240" s="263">
        <v>1094.33</v>
      </c>
      <c r="M240" s="153"/>
      <c r="N240" s="252"/>
      <c r="O240" s="268">
        <f t="shared" si="24"/>
        <v>-12671.39</v>
      </c>
      <c r="P240" s="252" t="s">
        <v>755</v>
      </c>
      <c r="Q240" s="252"/>
      <c r="R240" s="256">
        <f t="shared" si="34"/>
        <v>13.22139</v>
      </c>
    </row>
    <row r="241" spans="1:18" ht="15" customHeight="1">
      <c r="A241" s="246" t="s">
        <v>572</v>
      </c>
      <c r="B241" s="247">
        <v>6000386</v>
      </c>
      <c r="C241" s="153">
        <v>5904001</v>
      </c>
      <c r="D241" s="252" t="s">
        <v>879</v>
      </c>
      <c r="E241" s="153"/>
      <c r="F241" s="263">
        <v>550</v>
      </c>
      <c r="G241" s="263">
        <v>550</v>
      </c>
      <c r="H241" s="266">
        <f t="shared" si="23"/>
        <v>13221.39</v>
      </c>
      <c r="I241" s="263">
        <v>11038</v>
      </c>
      <c r="J241" s="263">
        <f t="shared" si="35"/>
        <v>835.17000000000007</v>
      </c>
      <c r="K241" s="263">
        <f t="shared" si="36"/>
        <v>253.89</v>
      </c>
      <c r="L241" s="263">
        <v>1094.33</v>
      </c>
      <c r="M241" s="153"/>
      <c r="N241" s="252"/>
      <c r="O241" s="268">
        <f t="shared" si="24"/>
        <v>-12671.39</v>
      </c>
      <c r="P241" s="252" t="s">
        <v>755</v>
      </c>
      <c r="Q241" s="252"/>
      <c r="R241" s="256">
        <f t="shared" si="34"/>
        <v>13.22139</v>
      </c>
    </row>
    <row r="242" spans="1:18" ht="15" customHeight="1">
      <c r="A242" s="246" t="s">
        <v>572</v>
      </c>
      <c r="B242" s="247">
        <v>6000386</v>
      </c>
      <c r="C242" s="153">
        <v>5898001</v>
      </c>
      <c r="D242" s="252" t="s">
        <v>880</v>
      </c>
      <c r="E242" s="153"/>
      <c r="F242" s="263">
        <v>550</v>
      </c>
      <c r="G242" s="263">
        <v>550</v>
      </c>
      <c r="H242" s="266">
        <f t="shared" si="23"/>
        <v>13221.39</v>
      </c>
      <c r="I242" s="263">
        <v>11038</v>
      </c>
      <c r="J242" s="263">
        <f t="shared" si="35"/>
        <v>835.17000000000007</v>
      </c>
      <c r="K242" s="263">
        <f t="shared" si="36"/>
        <v>253.89</v>
      </c>
      <c r="L242" s="263">
        <v>1094.33</v>
      </c>
      <c r="M242" s="153"/>
      <c r="N242" s="252"/>
      <c r="O242" s="268">
        <f t="shared" si="24"/>
        <v>-12671.39</v>
      </c>
      <c r="P242" s="252" t="s">
        <v>755</v>
      </c>
      <c r="Q242" s="252"/>
      <c r="R242" s="256">
        <f t="shared" si="34"/>
        <v>13.22139</v>
      </c>
    </row>
    <row r="243" spans="1:18" ht="15" customHeight="1">
      <c r="A243" s="246" t="s">
        <v>572</v>
      </c>
      <c r="B243" s="247">
        <v>6000386</v>
      </c>
      <c r="C243" s="153">
        <v>5917001</v>
      </c>
      <c r="D243" s="252" t="s">
        <v>881</v>
      </c>
      <c r="E243" s="153"/>
      <c r="F243" s="263">
        <v>550</v>
      </c>
      <c r="G243" s="263">
        <v>550</v>
      </c>
      <c r="H243" s="266">
        <f t="shared" si="23"/>
        <v>13221.39</v>
      </c>
      <c r="I243" s="263">
        <v>11038</v>
      </c>
      <c r="J243" s="263">
        <f t="shared" si="35"/>
        <v>835.17000000000007</v>
      </c>
      <c r="K243" s="263">
        <f t="shared" si="36"/>
        <v>253.89</v>
      </c>
      <c r="L243" s="263">
        <v>1094.33</v>
      </c>
      <c r="M243" s="153"/>
      <c r="N243" s="252"/>
      <c r="O243" s="268">
        <f t="shared" si="24"/>
        <v>-12671.39</v>
      </c>
      <c r="P243" s="252" t="s">
        <v>755</v>
      </c>
      <c r="Q243" s="252"/>
      <c r="R243" s="256">
        <f t="shared" si="34"/>
        <v>13.22139</v>
      </c>
    </row>
    <row r="244" spans="1:18" ht="15" customHeight="1">
      <c r="A244" s="246" t="s">
        <v>572</v>
      </c>
      <c r="B244" s="247">
        <v>6000386</v>
      </c>
      <c r="C244" s="153">
        <v>5905001</v>
      </c>
      <c r="D244" s="252" t="s">
        <v>882</v>
      </c>
      <c r="E244" s="153"/>
      <c r="F244" s="263">
        <v>550</v>
      </c>
      <c r="G244" s="263">
        <v>550</v>
      </c>
      <c r="H244" s="266">
        <f t="shared" si="23"/>
        <v>13221.39</v>
      </c>
      <c r="I244" s="263">
        <v>11038</v>
      </c>
      <c r="J244" s="263">
        <f t="shared" si="35"/>
        <v>835.17000000000007</v>
      </c>
      <c r="K244" s="263">
        <f t="shared" si="36"/>
        <v>253.89</v>
      </c>
      <c r="L244" s="263">
        <v>1094.33</v>
      </c>
      <c r="M244" s="153"/>
      <c r="N244" s="252"/>
      <c r="O244" s="268">
        <f t="shared" si="24"/>
        <v>-12671.39</v>
      </c>
      <c r="P244" s="252" t="s">
        <v>755</v>
      </c>
      <c r="Q244" s="252"/>
      <c r="R244" s="256">
        <f t="shared" si="34"/>
        <v>13.22139</v>
      </c>
    </row>
    <row r="245" spans="1:18" ht="15" customHeight="1">
      <c r="A245" s="246" t="s">
        <v>572</v>
      </c>
      <c r="B245" s="247">
        <v>6000386</v>
      </c>
      <c r="C245" s="153">
        <v>5762001</v>
      </c>
      <c r="D245" s="252" t="s">
        <v>435</v>
      </c>
      <c r="E245" s="153"/>
      <c r="F245" s="263">
        <v>550</v>
      </c>
      <c r="G245" s="263">
        <v>550</v>
      </c>
      <c r="H245" s="266">
        <f t="shared" si="23"/>
        <v>13221.39</v>
      </c>
      <c r="I245" s="263">
        <v>11038</v>
      </c>
      <c r="J245" s="263">
        <f t="shared" si="35"/>
        <v>835.17000000000007</v>
      </c>
      <c r="K245" s="263">
        <f t="shared" si="36"/>
        <v>253.89</v>
      </c>
      <c r="L245" s="263">
        <v>1094.33</v>
      </c>
      <c r="M245" s="153"/>
      <c r="N245" s="252"/>
      <c r="O245" s="268">
        <f t="shared" si="24"/>
        <v>-12671.39</v>
      </c>
      <c r="P245" s="252" t="s">
        <v>755</v>
      </c>
      <c r="Q245" s="252"/>
      <c r="R245" s="256">
        <f t="shared" si="34"/>
        <v>13.22139</v>
      </c>
    </row>
    <row r="246" spans="1:18" ht="15" customHeight="1">
      <c r="A246" s="246" t="s">
        <v>572</v>
      </c>
      <c r="B246" s="247">
        <v>6000386</v>
      </c>
      <c r="C246" s="153">
        <v>268003</v>
      </c>
      <c r="D246" s="252" t="s">
        <v>482</v>
      </c>
      <c r="E246" s="153"/>
      <c r="F246" s="263">
        <v>55872.78</v>
      </c>
      <c r="G246" s="263">
        <v>55872.78</v>
      </c>
      <c r="H246" s="266">
        <f t="shared" si="23"/>
        <v>16503.240000000002</v>
      </c>
      <c r="I246" s="263">
        <f>12847+287.02</f>
        <v>13134.02</v>
      </c>
      <c r="J246" s="263">
        <f>1132.75+634.55+283.19</f>
        <v>2050.4899999999998</v>
      </c>
      <c r="K246" s="263">
        <f>344.36+192.9+86.09</f>
        <v>623.35</v>
      </c>
      <c r="L246" s="263">
        <v>695.38</v>
      </c>
      <c r="M246" s="153"/>
      <c r="N246" s="252"/>
      <c r="O246" s="268">
        <f t="shared" si="24"/>
        <v>39369.539999999994</v>
      </c>
      <c r="P246" s="252" t="s">
        <v>573</v>
      </c>
      <c r="Q246" s="252" t="s">
        <v>883</v>
      </c>
    </row>
    <row r="247" spans="1:18" ht="15" customHeight="1">
      <c r="A247" s="246" t="s">
        <v>572</v>
      </c>
      <c r="B247" s="247">
        <v>6000386</v>
      </c>
      <c r="C247" s="153">
        <v>800002</v>
      </c>
      <c r="D247" s="252" t="s">
        <v>884</v>
      </c>
      <c r="E247" s="153"/>
      <c r="F247" s="263">
        <v>550</v>
      </c>
      <c r="G247" s="263">
        <v>550</v>
      </c>
      <c r="H247" s="266">
        <f t="shared" si="23"/>
        <v>12419.649999999998</v>
      </c>
      <c r="I247" s="263">
        <v>9419.7099999999991</v>
      </c>
      <c r="J247" s="263">
        <f t="shared" ref="J247:J250" si="37">1132.75+634.55</f>
        <v>1767.3</v>
      </c>
      <c r="K247" s="263">
        <f t="shared" ref="K247:K250" si="38">344.36+192.9</f>
        <v>537.26</v>
      </c>
      <c r="L247" s="263">
        <v>695.38</v>
      </c>
      <c r="M247" s="153"/>
      <c r="N247" s="252"/>
      <c r="O247" s="268">
        <f t="shared" si="24"/>
        <v>-11869.649999999998</v>
      </c>
      <c r="P247" s="252" t="s">
        <v>885</v>
      </c>
      <c r="Q247" s="252" t="s">
        <v>886</v>
      </c>
      <c r="R247" s="256">
        <f t="shared" ref="R247:R248" si="39">H247/1000</f>
        <v>12.419649999999997</v>
      </c>
    </row>
    <row r="248" spans="1:18" ht="15" customHeight="1">
      <c r="A248" s="246" t="s">
        <v>572</v>
      </c>
      <c r="B248" s="247">
        <v>6000386</v>
      </c>
      <c r="C248" s="153">
        <v>5861001</v>
      </c>
      <c r="D248" s="252" t="s">
        <v>887</v>
      </c>
      <c r="E248" s="153"/>
      <c r="F248" s="263">
        <v>550</v>
      </c>
      <c r="G248" s="263">
        <v>0</v>
      </c>
      <c r="H248" s="266">
        <f t="shared" si="23"/>
        <v>12562.069999999998</v>
      </c>
      <c r="I248" s="263">
        <v>9562.1299999999992</v>
      </c>
      <c r="J248" s="263">
        <f t="shared" si="37"/>
        <v>1767.3</v>
      </c>
      <c r="K248" s="263">
        <f t="shared" si="38"/>
        <v>537.26</v>
      </c>
      <c r="L248" s="263">
        <v>695.38</v>
      </c>
      <c r="M248" s="153"/>
      <c r="N248" s="252"/>
      <c r="O248" s="268">
        <f t="shared" si="24"/>
        <v>-12562.069999999998</v>
      </c>
      <c r="P248" s="252" t="s">
        <v>789</v>
      </c>
      <c r="Q248" s="252" t="s">
        <v>888</v>
      </c>
      <c r="R248" s="256">
        <f t="shared" si="39"/>
        <v>12.562069999999999</v>
      </c>
    </row>
    <row r="249" spans="1:18" ht="15" customHeight="1">
      <c r="A249" s="246" t="s">
        <v>572</v>
      </c>
      <c r="B249" s="247">
        <v>6000386</v>
      </c>
      <c r="C249" s="153">
        <v>3397004</v>
      </c>
      <c r="D249" s="252" t="s">
        <v>889</v>
      </c>
      <c r="E249" s="153"/>
      <c r="F249" s="263">
        <v>45947.45</v>
      </c>
      <c r="G249" s="263">
        <v>45947.45</v>
      </c>
      <c r="H249" s="266">
        <f t="shared" si="23"/>
        <v>22225.98</v>
      </c>
      <c r="I249" s="263">
        <v>19226.04</v>
      </c>
      <c r="J249" s="263">
        <f t="shared" si="37"/>
        <v>1767.3</v>
      </c>
      <c r="K249" s="263">
        <f t="shared" si="38"/>
        <v>537.26</v>
      </c>
      <c r="L249" s="263">
        <v>695.38</v>
      </c>
      <c r="M249" s="153"/>
      <c r="N249" s="252"/>
      <c r="O249" s="268">
        <f t="shared" si="24"/>
        <v>23721.469999999998</v>
      </c>
      <c r="P249" s="252" t="s">
        <v>794</v>
      </c>
      <c r="Q249" s="252" t="s">
        <v>890</v>
      </c>
    </row>
    <row r="250" spans="1:18" ht="15" customHeight="1">
      <c r="A250" s="246" t="s">
        <v>572</v>
      </c>
      <c r="B250" s="247">
        <v>6000386</v>
      </c>
      <c r="C250" s="153">
        <v>3345006</v>
      </c>
      <c r="D250" s="252" t="s">
        <v>699</v>
      </c>
      <c r="E250" s="153"/>
      <c r="F250" s="263">
        <v>45947.49</v>
      </c>
      <c r="G250" s="263">
        <v>45947.49</v>
      </c>
      <c r="H250" s="266">
        <f t="shared" si="23"/>
        <v>17741.919999999998</v>
      </c>
      <c r="I250" s="263">
        <v>14741.98</v>
      </c>
      <c r="J250" s="263">
        <f t="shared" si="37"/>
        <v>1767.3</v>
      </c>
      <c r="K250" s="263">
        <f t="shared" si="38"/>
        <v>537.26</v>
      </c>
      <c r="L250" s="263">
        <v>695.38</v>
      </c>
      <c r="M250" s="153"/>
      <c r="N250" s="252"/>
      <c r="O250" s="268">
        <f t="shared" si="24"/>
        <v>28205.57</v>
      </c>
      <c r="P250" s="252" t="s">
        <v>789</v>
      </c>
      <c r="Q250" s="252" t="s">
        <v>891</v>
      </c>
    </row>
    <row r="251" spans="1:18" ht="30">
      <c r="A251" s="246" t="s">
        <v>572</v>
      </c>
      <c r="B251" s="247">
        <v>6000386</v>
      </c>
      <c r="C251" s="153">
        <v>5824002</v>
      </c>
      <c r="D251" s="252" t="s">
        <v>892</v>
      </c>
      <c r="E251" s="153"/>
      <c r="F251" s="263">
        <v>550</v>
      </c>
      <c r="G251" s="263">
        <v>550</v>
      </c>
      <c r="H251" s="266">
        <f t="shared" ref="H251:H264" si="40">SUM(I251:M251)</f>
        <v>16669.129999999997</v>
      </c>
      <c r="I251" s="263">
        <v>14485.99</v>
      </c>
      <c r="J251" s="263">
        <f>1090.28+317.28</f>
        <v>1407.56</v>
      </c>
      <c r="K251" s="263">
        <f>331.44+96.45</f>
        <v>427.89</v>
      </c>
      <c r="L251" s="263">
        <v>347.69</v>
      </c>
      <c r="M251" s="153"/>
      <c r="N251" s="252"/>
      <c r="O251" s="268">
        <f t="shared" ref="O251:O310" si="41">G251-H251</f>
        <v>-16119.129999999997</v>
      </c>
      <c r="P251" s="252" t="s">
        <v>738</v>
      </c>
      <c r="Q251" s="252" t="s">
        <v>893</v>
      </c>
      <c r="R251" s="256">
        <f t="shared" ref="R251:R271" si="42">H251/1000</f>
        <v>16.669129999999999</v>
      </c>
    </row>
    <row r="252" spans="1:18" ht="15" customHeight="1">
      <c r="A252" s="246" t="s">
        <v>572</v>
      </c>
      <c r="B252" s="247">
        <v>6000386</v>
      </c>
      <c r="C252" s="153">
        <v>5896001</v>
      </c>
      <c r="D252" s="252" t="s">
        <v>894</v>
      </c>
      <c r="E252" s="153"/>
      <c r="F252" s="263">
        <v>550</v>
      </c>
      <c r="G252" s="263">
        <v>550</v>
      </c>
      <c r="H252" s="266">
        <f t="shared" si="40"/>
        <v>13227.31</v>
      </c>
      <c r="I252" s="263">
        <v>11038</v>
      </c>
      <c r="J252" s="263">
        <f>502.66+332.51</f>
        <v>835.17000000000007</v>
      </c>
      <c r="K252" s="263">
        <f>152.81+101.08</f>
        <v>253.89</v>
      </c>
      <c r="L252" s="263">
        <v>1100.25</v>
      </c>
      <c r="M252" s="153"/>
      <c r="N252" s="252"/>
      <c r="O252" s="268">
        <f t="shared" si="41"/>
        <v>-12677.31</v>
      </c>
      <c r="P252" s="252" t="s">
        <v>755</v>
      </c>
      <c r="Q252" s="252"/>
      <c r="R252" s="256">
        <f t="shared" si="42"/>
        <v>13.227309999999999</v>
      </c>
    </row>
    <row r="253" spans="1:18" ht="15" customHeight="1">
      <c r="A253" s="246" t="s">
        <v>572</v>
      </c>
      <c r="B253" s="247">
        <v>6000386</v>
      </c>
      <c r="C253" s="153">
        <v>5899001</v>
      </c>
      <c r="D253" s="252" t="s">
        <v>895</v>
      </c>
      <c r="E253" s="153"/>
      <c r="F253" s="263">
        <v>550</v>
      </c>
      <c r="G253" s="263">
        <v>550</v>
      </c>
      <c r="H253" s="266">
        <f t="shared" si="40"/>
        <v>13227.31</v>
      </c>
      <c r="I253" s="263">
        <v>11038</v>
      </c>
      <c r="J253" s="263">
        <f t="shared" ref="J253:J268" si="43">502.66+332.51</f>
        <v>835.17000000000007</v>
      </c>
      <c r="K253" s="263">
        <f t="shared" ref="K253:K268" si="44">152.81+101.08</f>
        <v>253.89</v>
      </c>
      <c r="L253" s="263">
        <v>1100.25</v>
      </c>
      <c r="M253" s="153"/>
      <c r="N253" s="252"/>
      <c r="O253" s="268">
        <f t="shared" si="41"/>
        <v>-12677.31</v>
      </c>
      <c r="P253" s="252" t="s">
        <v>755</v>
      </c>
      <c r="Q253" s="252"/>
      <c r="R253" s="256">
        <f t="shared" si="42"/>
        <v>13.227309999999999</v>
      </c>
    </row>
    <row r="254" spans="1:18" ht="15" customHeight="1">
      <c r="A254" s="246" t="s">
        <v>572</v>
      </c>
      <c r="B254" s="247">
        <v>6000386</v>
      </c>
      <c r="C254" s="153">
        <v>5908001</v>
      </c>
      <c r="D254" s="252" t="s">
        <v>896</v>
      </c>
      <c r="E254" s="153"/>
      <c r="F254" s="263">
        <v>550</v>
      </c>
      <c r="G254" s="263">
        <v>550</v>
      </c>
      <c r="H254" s="266">
        <f t="shared" si="40"/>
        <v>13227.31</v>
      </c>
      <c r="I254" s="263">
        <v>11038</v>
      </c>
      <c r="J254" s="263">
        <f t="shared" si="43"/>
        <v>835.17000000000007</v>
      </c>
      <c r="K254" s="263">
        <f t="shared" si="44"/>
        <v>253.89</v>
      </c>
      <c r="L254" s="263">
        <v>1100.25</v>
      </c>
      <c r="M254" s="153"/>
      <c r="N254" s="252"/>
      <c r="O254" s="268">
        <f t="shared" si="41"/>
        <v>-12677.31</v>
      </c>
      <c r="P254" s="252" t="s">
        <v>755</v>
      </c>
      <c r="Q254" s="252"/>
      <c r="R254" s="256">
        <f t="shared" si="42"/>
        <v>13.227309999999999</v>
      </c>
    </row>
    <row r="255" spans="1:18" ht="15" customHeight="1">
      <c r="A255" s="246" t="s">
        <v>572</v>
      </c>
      <c r="B255" s="247">
        <v>6000386</v>
      </c>
      <c r="C255" s="153">
        <v>5770001</v>
      </c>
      <c r="D255" s="252" t="s">
        <v>897</v>
      </c>
      <c r="E255" s="153"/>
      <c r="F255" s="263">
        <v>550</v>
      </c>
      <c r="G255" s="263">
        <v>550</v>
      </c>
      <c r="H255" s="266">
        <f t="shared" si="40"/>
        <v>13227.31</v>
      </c>
      <c r="I255" s="263">
        <v>11038</v>
      </c>
      <c r="J255" s="263">
        <f t="shared" si="43"/>
        <v>835.17000000000007</v>
      </c>
      <c r="K255" s="263">
        <f t="shared" si="44"/>
        <v>253.89</v>
      </c>
      <c r="L255" s="263">
        <v>1100.25</v>
      </c>
      <c r="M255" s="153"/>
      <c r="N255" s="252"/>
      <c r="O255" s="268">
        <f t="shared" si="41"/>
        <v>-12677.31</v>
      </c>
      <c r="P255" s="252" t="s">
        <v>755</v>
      </c>
      <c r="Q255" s="252"/>
      <c r="R255" s="256">
        <f t="shared" si="42"/>
        <v>13.227309999999999</v>
      </c>
    </row>
    <row r="256" spans="1:18" ht="15" customHeight="1">
      <c r="A256" s="246" t="s">
        <v>572</v>
      </c>
      <c r="B256" s="247">
        <v>6000386</v>
      </c>
      <c r="C256" s="153">
        <v>4993003</v>
      </c>
      <c r="D256" s="252" t="s">
        <v>898</v>
      </c>
      <c r="E256" s="153"/>
      <c r="F256" s="263">
        <v>550</v>
      </c>
      <c r="G256" s="263">
        <v>550</v>
      </c>
      <c r="H256" s="266">
        <f t="shared" si="40"/>
        <v>13227.31</v>
      </c>
      <c r="I256" s="263">
        <v>11038</v>
      </c>
      <c r="J256" s="263">
        <f t="shared" si="43"/>
        <v>835.17000000000007</v>
      </c>
      <c r="K256" s="263">
        <f t="shared" si="44"/>
        <v>253.89</v>
      </c>
      <c r="L256" s="263">
        <v>1100.25</v>
      </c>
      <c r="M256" s="153"/>
      <c r="N256" s="252"/>
      <c r="O256" s="268">
        <f t="shared" si="41"/>
        <v>-12677.31</v>
      </c>
      <c r="P256" s="252" t="s">
        <v>755</v>
      </c>
      <c r="Q256" s="252"/>
      <c r="R256" s="256">
        <f t="shared" si="42"/>
        <v>13.227309999999999</v>
      </c>
    </row>
    <row r="257" spans="1:18" ht="15" customHeight="1">
      <c r="A257" s="246" t="s">
        <v>572</v>
      </c>
      <c r="B257" s="247">
        <v>6000386</v>
      </c>
      <c r="C257" s="153">
        <v>5849002</v>
      </c>
      <c r="D257" s="252" t="s">
        <v>801</v>
      </c>
      <c r="E257" s="153"/>
      <c r="F257" s="263">
        <v>550</v>
      </c>
      <c r="G257" s="263">
        <v>550</v>
      </c>
      <c r="H257" s="266">
        <f t="shared" si="40"/>
        <v>13227.31</v>
      </c>
      <c r="I257" s="263">
        <v>11038</v>
      </c>
      <c r="J257" s="263">
        <f t="shared" si="43"/>
        <v>835.17000000000007</v>
      </c>
      <c r="K257" s="263">
        <f t="shared" si="44"/>
        <v>253.89</v>
      </c>
      <c r="L257" s="263">
        <v>1100.25</v>
      </c>
      <c r="M257" s="153"/>
      <c r="N257" s="252"/>
      <c r="O257" s="268">
        <f t="shared" si="41"/>
        <v>-12677.31</v>
      </c>
      <c r="P257" s="252" t="s">
        <v>755</v>
      </c>
      <c r="Q257" s="252"/>
      <c r="R257" s="256">
        <f t="shared" si="42"/>
        <v>13.227309999999999</v>
      </c>
    </row>
    <row r="258" spans="1:18" ht="15" customHeight="1">
      <c r="A258" s="246" t="s">
        <v>572</v>
      </c>
      <c r="B258" s="247">
        <v>6000386</v>
      </c>
      <c r="C258" s="153">
        <v>3183002</v>
      </c>
      <c r="D258" s="252" t="s">
        <v>899</v>
      </c>
      <c r="E258" s="153"/>
      <c r="F258" s="263">
        <v>550</v>
      </c>
      <c r="G258" s="263">
        <v>550</v>
      </c>
      <c r="H258" s="266">
        <f t="shared" si="40"/>
        <v>13227.31</v>
      </c>
      <c r="I258" s="263">
        <v>11038</v>
      </c>
      <c r="J258" s="263">
        <f t="shared" si="43"/>
        <v>835.17000000000007</v>
      </c>
      <c r="K258" s="263">
        <f t="shared" si="44"/>
        <v>253.89</v>
      </c>
      <c r="L258" s="263">
        <v>1100.25</v>
      </c>
      <c r="M258" s="153"/>
      <c r="N258" s="252"/>
      <c r="O258" s="268">
        <f t="shared" si="41"/>
        <v>-12677.31</v>
      </c>
      <c r="P258" s="252" t="s">
        <v>755</v>
      </c>
      <c r="Q258" s="252"/>
      <c r="R258" s="256">
        <f t="shared" si="42"/>
        <v>13.227309999999999</v>
      </c>
    </row>
    <row r="259" spans="1:18" ht="15" customHeight="1">
      <c r="A259" s="246" t="s">
        <v>572</v>
      </c>
      <c r="B259" s="247">
        <v>6000386</v>
      </c>
      <c r="C259" s="153">
        <v>5919001</v>
      </c>
      <c r="D259" s="252" t="s">
        <v>900</v>
      </c>
      <c r="E259" s="153"/>
      <c r="F259" s="263">
        <v>550</v>
      </c>
      <c r="G259" s="263">
        <v>550</v>
      </c>
      <c r="H259" s="266">
        <f t="shared" si="40"/>
        <v>13227.31</v>
      </c>
      <c r="I259" s="263">
        <v>11038</v>
      </c>
      <c r="J259" s="263">
        <f t="shared" si="43"/>
        <v>835.17000000000007</v>
      </c>
      <c r="K259" s="263">
        <f t="shared" si="44"/>
        <v>253.89</v>
      </c>
      <c r="L259" s="263">
        <v>1100.25</v>
      </c>
      <c r="M259" s="153"/>
      <c r="N259" s="252"/>
      <c r="O259" s="268">
        <f t="shared" si="41"/>
        <v>-12677.31</v>
      </c>
      <c r="P259" s="252" t="s">
        <v>755</v>
      </c>
      <c r="Q259" s="252"/>
      <c r="R259" s="256">
        <f t="shared" si="42"/>
        <v>13.227309999999999</v>
      </c>
    </row>
    <row r="260" spans="1:18" ht="15" customHeight="1">
      <c r="A260" s="246" t="s">
        <v>572</v>
      </c>
      <c r="B260" s="247">
        <v>6000386</v>
      </c>
      <c r="C260" s="153">
        <v>5785001</v>
      </c>
      <c r="D260" s="252" t="s">
        <v>347</v>
      </c>
      <c r="E260" s="153"/>
      <c r="F260" s="263">
        <v>550</v>
      </c>
      <c r="G260" s="263">
        <v>550</v>
      </c>
      <c r="H260" s="266">
        <f t="shared" si="40"/>
        <v>13227.31</v>
      </c>
      <c r="I260" s="263">
        <v>11038</v>
      </c>
      <c r="J260" s="263">
        <f t="shared" si="43"/>
        <v>835.17000000000007</v>
      </c>
      <c r="K260" s="263">
        <f t="shared" si="44"/>
        <v>253.89</v>
      </c>
      <c r="L260" s="263">
        <v>1100.25</v>
      </c>
      <c r="M260" s="153"/>
      <c r="N260" s="252"/>
      <c r="O260" s="268">
        <f t="shared" si="41"/>
        <v>-12677.31</v>
      </c>
      <c r="P260" s="252" t="s">
        <v>755</v>
      </c>
      <c r="Q260" s="252"/>
      <c r="R260" s="256">
        <f t="shared" si="42"/>
        <v>13.227309999999999</v>
      </c>
    </row>
    <row r="261" spans="1:18" ht="15" customHeight="1">
      <c r="A261" s="246" t="s">
        <v>572</v>
      </c>
      <c r="B261" s="247">
        <v>6000386</v>
      </c>
      <c r="C261" s="153">
        <v>5920001</v>
      </c>
      <c r="D261" s="252" t="s">
        <v>901</v>
      </c>
      <c r="E261" s="153"/>
      <c r="F261" s="263">
        <v>550</v>
      </c>
      <c r="G261" s="263">
        <v>550</v>
      </c>
      <c r="H261" s="266">
        <f t="shared" si="40"/>
        <v>13227.31</v>
      </c>
      <c r="I261" s="263">
        <v>11038</v>
      </c>
      <c r="J261" s="263">
        <f t="shared" si="43"/>
        <v>835.17000000000007</v>
      </c>
      <c r="K261" s="263">
        <f t="shared" si="44"/>
        <v>253.89</v>
      </c>
      <c r="L261" s="263">
        <v>1100.25</v>
      </c>
      <c r="M261" s="153"/>
      <c r="N261" s="252"/>
      <c r="O261" s="268">
        <f t="shared" si="41"/>
        <v>-12677.31</v>
      </c>
      <c r="P261" s="252" t="s">
        <v>755</v>
      </c>
      <c r="Q261" s="252"/>
      <c r="R261" s="256">
        <f t="shared" si="42"/>
        <v>13.227309999999999</v>
      </c>
    </row>
    <row r="262" spans="1:18" ht="15" customHeight="1">
      <c r="A262" s="246" t="s">
        <v>572</v>
      </c>
      <c r="B262" s="247">
        <v>6000386</v>
      </c>
      <c r="C262" s="153">
        <v>5795001</v>
      </c>
      <c r="D262" s="252" t="s">
        <v>902</v>
      </c>
      <c r="E262" s="153"/>
      <c r="F262" s="263">
        <v>550</v>
      </c>
      <c r="G262" s="263">
        <v>550</v>
      </c>
      <c r="H262" s="266">
        <f t="shared" si="40"/>
        <v>13227.31</v>
      </c>
      <c r="I262" s="263">
        <v>11038</v>
      </c>
      <c r="J262" s="263">
        <f t="shared" si="43"/>
        <v>835.17000000000007</v>
      </c>
      <c r="K262" s="263">
        <f t="shared" si="44"/>
        <v>253.89</v>
      </c>
      <c r="L262" s="263">
        <v>1100.25</v>
      </c>
      <c r="M262" s="153"/>
      <c r="N262" s="252"/>
      <c r="O262" s="268">
        <f t="shared" si="41"/>
        <v>-12677.31</v>
      </c>
      <c r="P262" s="252" t="s">
        <v>755</v>
      </c>
      <c r="Q262" s="252"/>
      <c r="R262" s="256">
        <f t="shared" si="42"/>
        <v>13.227309999999999</v>
      </c>
    </row>
    <row r="263" spans="1:18" ht="15" customHeight="1">
      <c r="A263" s="246" t="s">
        <v>572</v>
      </c>
      <c r="B263" s="247">
        <v>6000386</v>
      </c>
      <c r="C263" s="153">
        <v>1929002</v>
      </c>
      <c r="D263" s="252" t="s">
        <v>903</v>
      </c>
      <c r="E263" s="153"/>
      <c r="F263" s="263">
        <v>550</v>
      </c>
      <c r="G263" s="263">
        <v>550</v>
      </c>
      <c r="H263" s="266">
        <f t="shared" si="40"/>
        <v>13227.31</v>
      </c>
      <c r="I263" s="263">
        <v>11038</v>
      </c>
      <c r="J263" s="263">
        <f t="shared" si="43"/>
        <v>835.17000000000007</v>
      </c>
      <c r="K263" s="263">
        <f t="shared" si="44"/>
        <v>253.89</v>
      </c>
      <c r="L263" s="263">
        <v>1100.25</v>
      </c>
      <c r="M263" s="153"/>
      <c r="N263" s="252"/>
      <c r="O263" s="268">
        <f t="shared" si="41"/>
        <v>-12677.31</v>
      </c>
      <c r="P263" s="252" t="s">
        <v>755</v>
      </c>
      <c r="Q263" s="252"/>
      <c r="R263" s="256">
        <f t="shared" si="42"/>
        <v>13.227309999999999</v>
      </c>
    </row>
    <row r="264" spans="1:18" ht="15" customHeight="1">
      <c r="A264" s="246" t="s">
        <v>572</v>
      </c>
      <c r="B264" s="247">
        <v>6000386</v>
      </c>
      <c r="C264" s="58">
        <v>4121002</v>
      </c>
      <c r="D264" s="246" t="s">
        <v>904</v>
      </c>
      <c r="E264" s="58"/>
      <c r="F264" s="263">
        <v>550</v>
      </c>
      <c r="G264" s="263">
        <v>550</v>
      </c>
      <c r="H264" s="266">
        <f t="shared" si="40"/>
        <v>13227.31</v>
      </c>
      <c r="I264" s="263">
        <v>11038</v>
      </c>
      <c r="J264" s="263">
        <f t="shared" si="43"/>
        <v>835.17000000000007</v>
      </c>
      <c r="K264" s="263">
        <f t="shared" si="44"/>
        <v>253.89</v>
      </c>
      <c r="L264" s="263">
        <v>1100.25</v>
      </c>
      <c r="M264" s="58"/>
      <c r="N264" s="246"/>
      <c r="O264" s="268">
        <f t="shared" si="41"/>
        <v>-12677.31</v>
      </c>
      <c r="P264" s="252" t="s">
        <v>755</v>
      </c>
      <c r="Q264" s="252"/>
      <c r="R264" s="256">
        <f t="shared" si="42"/>
        <v>13.227309999999999</v>
      </c>
    </row>
    <row r="265" spans="1:18" ht="15" customHeight="1">
      <c r="A265" s="246" t="s">
        <v>572</v>
      </c>
      <c r="B265" s="247">
        <v>6000386</v>
      </c>
      <c r="C265" s="153">
        <v>4807003</v>
      </c>
      <c r="D265" s="252" t="s">
        <v>905</v>
      </c>
      <c r="E265" s="153"/>
      <c r="F265" s="263">
        <v>550</v>
      </c>
      <c r="G265" s="263">
        <v>550</v>
      </c>
      <c r="H265" s="266">
        <f t="shared" ref="H265:H321" si="45">SUM(I265:M265)</f>
        <v>13227.31</v>
      </c>
      <c r="I265" s="263">
        <v>11038</v>
      </c>
      <c r="J265" s="263">
        <f t="shared" si="43"/>
        <v>835.17000000000007</v>
      </c>
      <c r="K265" s="263">
        <f t="shared" si="44"/>
        <v>253.89</v>
      </c>
      <c r="L265" s="263">
        <v>1100.25</v>
      </c>
      <c r="M265" s="58"/>
      <c r="N265" s="252"/>
      <c r="O265" s="268">
        <f t="shared" si="41"/>
        <v>-12677.31</v>
      </c>
      <c r="P265" s="252" t="s">
        <v>755</v>
      </c>
      <c r="Q265" s="252"/>
      <c r="R265" s="256">
        <f t="shared" si="42"/>
        <v>13.227309999999999</v>
      </c>
    </row>
    <row r="266" spans="1:18" ht="15" customHeight="1">
      <c r="A266" s="246" t="s">
        <v>572</v>
      </c>
      <c r="B266" s="247">
        <v>6000386</v>
      </c>
      <c r="C266" s="153">
        <v>5889001</v>
      </c>
      <c r="D266" s="252" t="s">
        <v>906</v>
      </c>
      <c r="E266" s="153"/>
      <c r="F266" s="263">
        <v>550</v>
      </c>
      <c r="G266" s="263">
        <v>550</v>
      </c>
      <c r="H266" s="266">
        <f t="shared" si="45"/>
        <v>13227.31</v>
      </c>
      <c r="I266" s="263">
        <v>11038</v>
      </c>
      <c r="J266" s="263">
        <f t="shared" si="43"/>
        <v>835.17000000000007</v>
      </c>
      <c r="K266" s="263">
        <f t="shared" si="44"/>
        <v>253.89</v>
      </c>
      <c r="L266" s="263">
        <v>1100.25</v>
      </c>
      <c r="M266" s="58"/>
      <c r="N266" s="252"/>
      <c r="O266" s="268">
        <f t="shared" si="41"/>
        <v>-12677.31</v>
      </c>
      <c r="P266" s="252" t="s">
        <v>755</v>
      </c>
      <c r="Q266" s="252"/>
      <c r="R266" s="256">
        <f t="shared" si="42"/>
        <v>13.227309999999999</v>
      </c>
    </row>
    <row r="267" spans="1:18" ht="15" customHeight="1">
      <c r="A267" s="246" t="s">
        <v>572</v>
      </c>
      <c r="B267" s="247">
        <v>6000386</v>
      </c>
      <c r="C267" s="153">
        <v>5921001</v>
      </c>
      <c r="D267" s="252" t="s">
        <v>907</v>
      </c>
      <c r="E267" s="153"/>
      <c r="F267" s="263">
        <v>550</v>
      </c>
      <c r="G267" s="263">
        <v>550</v>
      </c>
      <c r="H267" s="266">
        <f t="shared" si="45"/>
        <v>13227.31</v>
      </c>
      <c r="I267" s="263">
        <v>11038</v>
      </c>
      <c r="J267" s="263">
        <f t="shared" si="43"/>
        <v>835.17000000000007</v>
      </c>
      <c r="K267" s="263">
        <f t="shared" si="44"/>
        <v>253.89</v>
      </c>
      <c r="L267" s="263">
        <v>1100.25</v>
      </c>
      <c r="M267" s="58"/>
      <c r="N267" s="252"/>
      <c r="O267" s="268">
        <f t="shared" si="41"/>
        <v>-12677.31</v>
      </c>
      <c r="P267" s="252" t="s">
        <v>755</v>
      </c>
      <c r="Q267" s="252"/>
      <c r="R267" s="256">
        <f t="shared" si="42"/>
        <v>13.227309999999999</v>
      </c>
    </row>
    <row r="268" spans="1:18" ht="15" customHeight="1">
      <c r="A268" s="246" t="s">
        <v>572</v>
      </c>
      <c r="B268" s="247">
        <v>6000386</v>
      </c>
      <c r="C268" s="153">
        <v>5927001</v>
      </c>
      <c r="D268" s="252" t="s">
        <v>908</v>
      </c>
      <c r="E268" s="153"/>
      <c r="F268" s="263">
        <v>550</v>
      </c>
      <c r="G268" s="263">
        <v>550</v>
      </c>
      <c r="H268" s="266">
        <f t="shared" si="45"/>
        <v>13227.31</v>
      </c>
      <c r="I268" s="263">
        <v>11038</v>
      </c>
      <c r="J268" s="263">
        <f t="shared" si="43"/>
        <v>835.17000000000007</v>
      </c>
      <c r="K268" s="263">
        <f t="shared" si="44"/>
        <v>253.89</v>
      </c>
      <c r="L268" s="263">
        <v>1100.25</v>
      </c>
      <c r="M268" s="58"/>
      <c r="N268" s="252"/>
      <c r="O268" s="268">
        <f t="shared" si="41"/>
        <v>-12677.31</v>
      </c>
      <c r="P268" s="252" t="s">
        <v>755</v>
      </c>
      <c r="Q268" s="252"/>
      <c r="R268" s="256">
        <f t="shared" si="42"/>
        <v>13.227309999999999</v>
      </c>
    </row>
    <row r="269" spans="1:18" ht="15" customHeight="1">
      <c r="A269" s="246" t="s">
        <v>572</v>
      </c>
      <c r="B269" s="247">
        <v>6000386</v>
      </c>
      <c r="C269" s="153">
        <v>3543003</v>
      </c>
      <c r="D269" s="252" t="s">
        <v>433</v>
      </c>
      <c r="E269" s="153"/>
      <c r="F269" s="265">
        <v>550</v>
      </c>
      <c r="G269" s="265">
        <v>550</v>
      </c>
      <c r="H269" s="266">
        <f t="shared" si="45"/>
        <v>13186.57</v>
      </c>
      <c r="I269" s="265">
        <v>11038</v>
      </c>
      <c r="J269" s="265">
        <f>1061.96+317.28</f>
        <v>1379.24</v>
      </c>
      <c r="K269" s="265">
        <f>322.83+96.45</f>
        <v>419.28</v>
      </c>
      <c r="L269" s="265">
        <v>350.05</v>
      </c>
      <c r="M269" s="58"/>
      <c r="N269" s="252"/>
      <c r="O269" s="268">
        <f t="shared" si="41"/>
        <v>-12636.57</v>
      </c>
      <c r="P269" s="252" t="s">
        <v>755</v>
      </c>
      <c r="Q269" s="252" t="s">
        <v>909</v>
      </c>
      <c r="R269" s="256">
        <f t="shared" si="42"/>
        <v>13.18657</v>
      </c>
    </row>
    <row r="270" spans="1:18" ht="15" customHeight="1">
      <c r="A270" s="246" t="s">
        <v>572</v>
      </c>
      <c r="B270" s="247">
        <v>6000386</v>
      </c>
      <c r="C270" s="153">
        <v>3296002</v>
      </c>
      <c r="D270" s="252" t="s">
        <v>910</v>
      </c>
      <c r="E270" s="153"/>
      <c r="F270" s="265">
        <v>550</v>
      </c>
      <c r="G270" s="265">
        <v>550</v>
      </c>
      <c r="H270" s="266">
        <f t="shared" si="45"/>
        <v>7030.73</v>
      </c>
      <c r="I270" s="265">
        <v>4882.16</v>
      </c>
      <c r="J270" s="265">
        <f>1061.96+317.28</f>
        <v>1379.24</v>
      </c>
      <c r="K270" s="265">
        <f>322.83+96.45</f>
        <v>419.28</v>
      </c>
      <c r="L270" s="265">
        <v>350.05</v>
      </c>
      <c r="M270" s="58"/>
      <c r="N270" s="252"/>
      <c r="O270" s="268">
        <f t="shared" si="41"/>
        <v>-6480.73</v>
      </c>
      <c r="P270" s="252" t="s">
        <v>745</v>
      </c>
      <c r="Q270" s="252" t="s">
        <v>911</v>
      </c>
      <c r="R270" s="256">
        <f t="shared" si="42"/>
        <v>7.0307299999999993</v>
      </c>
    </row>
    <row r="271" spans="1:18" ht="15" customHeight="1">
      <c r="A271" s="246" t="s">
        <v>572</v>
      </c>
      <c r="B271" s="247">
        <v>6000386</v>
      </c>
      <c r="C271" s="153">
        <v>5866001</v>
      </c>
      <c r="D271" s="252" t="s">
        <v>912</v>
      </c>
      <c r="E271" s="153"/>
      <c r="F271" s="265">
        <v>550</v>
      </c>
      <c r="G271" s="265">
        <v>550</v>
      </c>
      <c r="H271" s="266">
        <f t="shared" si="45"/>
        <v>13125.720000000001</v>
      </c>
      <c r="I271" s="265">
        <v>10859.61</v>
      </c>
      <c r="J271" s="265">
        <f>566.38+634.55</f>
        <v>1200.9299999999998</v>
      </c>
      <c r="K271" s="265">
        <f>172.18+192.9</f>
        <v>365.08000000000004</v>
      </c>
      <c r="L271" s="265">
        <v>700.1</v>
      </c>
      <c r="M271" s="58"/>
      <c r="N271" s="252"/>
      <c r="O271" s="268">
        <f t="shared" si="41"/>
        <v>-12575.720000000001</v>
      </c>
      <c r="P271" s="252" t="s">
        <v>585</v>
      </c>
      <c r="Q271" s="252" t="s">
        <v>913</v>
      </c>
      <c r="R271" s="256">
        <f t="shared" si="42"/>
        <v>13.125720000000001</v>
      </c>
    </row>
    <row r="272" spans="1:18" ht="15" customHeight="1">
      <c r="A272" s="246" t="s">
        <v>572</v>
      </c>
      <c r="B272" s="247">
        <v>6000386</v>
      </c>
      <c r="C272" s="153">
        <v>2283002</v>
      </c>
      <c r="D272" s="252" t="s">
        <v>914</v>
      </c>
      <c r="E272" s="153"/>
      <c r="F272" s="265">
        <v>55872.78</v>
      </c>
      <c r="G272" s="265">
        <v>55872.78</v>
      </c>
      <c r="H272" s="266">
        <f t="shared" si="45"/>
        <v>17246.939999999999</v>
      </c>
      <c r="I272" s="265">
        <v>14980.83</v>
      </c>
      <c r="J272" s="265">
        <f>566.38+634.55</f>
        <v>1200.9299999999998</v>
      </c>
      <c r="K272" s="265">
        <f>172.18+192.9</f>
        <v>365.08000000000004</v>
      </c>
      <c r="L272" s="265">
        <v>700.1</v>
      </c>
      <c r="M272" s="58"/>
      <c r="N272" s="252"/>
      <c r="O272" s="268">
        <f t="shared" si="41"/>
        <v>38625.839999999997</v>
      </c>
      <c r="P272" s="252" t="s">
        <v>573</v>
      </c>
      <c r="Q272" s="252" t="s">
        <v>915</v>
      </c>
    </row>
    <row r="273" spans="1:18" ht="15" customHeight="1">
      <c r="A273" s="246" t="s">
        <v>572</v>
      </c>
      <c r="B273" s="247">
        <v>6000386</v>
      </c>
      <c r="C273" s="153">
        <v>1134002</v>
      </c>
      <c r="D273" s="252" t="s">
        <v>916</v>
      </c>
      <c r="E273" s="153"/>
      <c r="F273" s="265">
        <v>36129.86</v>
      </c>
      <c r="G273" s="265">
        <v>36129.86</v>
      </c>
      <c r="H273" s="266">
        <f t="shared" si="45"/>
        <v>14863.52</v>
      </c>
      <c r="I273" s="265">
        <v>12597.41</v>
      </c>
      <c r="J273" s="265">
        <f>566.38+634.55</f>
        <v>1200.9299999999998</v>
      </c>
      <c r="K273" s="265">
        <f>172.18+192.9</f>
        <v>365.08000000000004</v>
      </c>
      <c r="L273" s="265">
        <v>700.1</v>
      </c>
      <c r="M273" s="58"/>
      <c r="N273" s="252"/>
      <c r="O273" s="268">
        <f t="shared" si="41"/>
        <v>21266.34</v>
      </c>
      <c r="P273" s="252" t="s">
        <v>917</v>
      </c>
      <c r="Q273" s="252" t="s">
        <v>918</v>
      </c>
    </row>
    <row r="274" spans="1:18" ht="15" customHeight="1">
      <c r="A274" s="246" t="s">
        <v>572</v>
      </c>
      <c r="B274" s="247">
        <v>6000386</v>
      </c>
      <c r="C274" s="153">
        <v>3397004</v>
      </c>
      <c r="D274" s="252" t="s">
        <v>368</v>
      </c>
      <c r="E274" s="153"/>
      <c r="F274" s="265">
        <v>45947.45</v>
      </c>
      <c r="G274" s="265">
        <v>45947.45</v>
      </c>
      <c r="H274" s="266">
        <f t="shared" si="45"/>
        <v>13708.13</v>
      </c>
      <c r="I274" s="265">
        <v>11559.56</v>
      </c>
      <c r="J274" s="265">
        <f>1061.96+317.28</f>
        <v>1379.24</v>
      </c>
      <c r="K274" s="265">
        <f>322.83+96.45</f>
        <v>419.28</v>
      </c>
      <c r="L274" s="265">
        <v>350.05</v>
      </c>
      <c r="M274" s="58"/>
      <c r="N274" s="252"/>
      <c r="O274" s="268">
        <f t="shared" si="41"/>
        <v>32239.32</v>
      </c>
      <c r="P274" s="252" t="s">
        <v>755</v>
      </c>
      <c r="Q274" s="252" t="s">
        <v>919</v>
      </c>
    </row>
    <row r="275" spans="1:18" ht="15" customHeight="1">
      <c r="A275" s="246" t="s">
        <v>572</v>
      </c>
      <c r="B275" s="247">
        <v>6000386</v>
      </c>
      <c r="C275" s="153">
        <v>5628002</v>
      </c>
      <c r="D275" s="252" t="s">
        <v>395</v>
      </c>
      <c r="E275" s="153"/>
      <c r="F275" s="265">
        <v>550</v>
      </c>
      <c r="G275" s="265">
        <v>550</v>
      </c>
      <c r="H275" s="266">
        <f t="shared" si="45"/>
        <v>13405.33</v>
      </c>
      <c r="I275" s="265">
        <v>11256.76</v>
      </c>
      <c r="J275" s="265">
        <f>1061.96+317.28</f>
        <v>1379.24</v>
      </c>
      <c r="K275" s="265">
        <f>322.83+96.45</f>
        <v>419.28</v>
      </c>
      <c r="L275" s="265">
        <v>350.05</v>
      </c>
      <c r="M275" s="58"/>
      <c r="N275" s="252"/>
      <c r="O275" s="268">
        <f t="shared" si="41"/>
        <v>-12855.33</v>
      </c>
      <c r="P275" s="252" t="s">
        <v>920</v>
      </c>
      <c r="Q275" s="252" t="s">
        <v>921</v>
      </c>
      <c r="R275" s="256">
        <f>H275/1000</f>
        <v>13.405329999999999</v>
      </c>
    </row>
    <row r="276" spans="1:18" ht="15" customHeight="1">
      <c r="A276" s="246" t="s">
        <v>572</v>
      </c>
      <c r="B276" s="247">
        <v>6000386</v>
      </c>
      <c r="C276" s="153">
        <v>3920002</v>
      </c>
      <c r="D276" s="252" t="s">
        <v>451</v>
      </c>
      <c r="E276" s="153"/>
      <c r="F276" s="265">
        <v>55872.78</v>
      </c>
      <c r="G276" s="265">
        <v>55872.78</v>
      </c>
      <c r="H276" s="266">
        <f t="shared" si="45"/>
        <v>18919.02</v>
      </c>
      <c r="I276" s="265">
        <v>16674.38</v>
      </c>
      <c r="J276" s="265">
        <f>1132.75+317.28</f>
        <v>1450.03</v>
      </c>
      <c r="K276" s="265">
        <f>344.36+96.45</f>
        <v>440.81</v>
      </c>
      <c r="L276" s="265">
        <v>353.8</v>
      </c>
      <c r="M276" s="58"/>
      <c r="N276" s="252"/>
      <c r="O276" s="268">
        <f t="shared" si="41"/>
        <v>36953.759999999995</v>
      </c>
      <c r="P276" s="252" t="s">
        <v>573</v>
      </c>
      <c r="Q276" s="252" t="s">
        <v>922</v>
      </c>
    </row>
    <row r="277" spans="1:18" ht="15" customHeight="1">
      <c r="A277" s="246" t="s">
        <v>572</v>
      </c>
      <c r="B277" s="247">
        <v>6000386</v>
      </c>
      <c r="C277" s="153">
        <v>5771001</v>
      </c>
      <c r="D277" s="252" t="s">
        <v>923</v>
      </c>
      <c r="E277" s="153"/>
      <c r="F277" s="265">
        <v>46055.199999999997</v>
      </c>
      <c r="G277" s="265">
        <v>46055.199999999997</v>
      </c>
      <c r="H277" s="266">
        <f t="shared" si="45"/>
        <v>4614.5300000000007</v>
      </c>
      <c r="I277" s="265">
        <v>3315.3</v>
      </c>
      <c r="J277" s="265">
        <f>566.38+158.64</f>
        <v>725.02</v>
      </c>
      <c r="K277" s="265">
        <f>172.18+48.23</f>
        <v>220.41</v>
      </c>
      <c r="L277" s="265">
        <v>353.8</v>
      </c>
      <c r="M277" s="58"/>
      <c r="N277" s="252"/>
      <c r="O277" s="268">
        <f t="shared" si="41"/>
        <v>41440.67</v>
      </c>
      <c r="P277" s="252"/>
      <c r="Q277" s="252"/>
    </row>
    <row r="278" spans="1:18" ht="15" customHeight="1">
      <c r="A278" s="246" t="s">
        <v>572</v>
      </c>
      <c r="B278" s="247">
        <v>6000386</v>
      </c>
      <c r="C278" s="153">
        <v>5812001</v>
      </c>
      <c r="D278" s="252" t="s">
        <v>924</v>
      </c>
      <c r="E278" s="153"/>
      <c r="F278" s="265">
        <v>84072.16</v>
      </c>
      <c r="G278" s="265">
        <v>84072.16</v>
      </c>
      <c r="H278" s="266">
        <f t="shared" si="45"/>
        <v>21815.37</v>
      </c>
      <c r="I278" s="265">
        <v>19570.73</v>
      </c>
      <c r="J278" s="265">
        <f>1132.75+317.28</f>
        <v>1450.03</v>
      </c>
      <c r="K278" s="265">
        <f>344.36+96.45</f>
        <v>440.81</v>
      </c>
      <c r="L278" s="265">
        <v>353.8</v>
      </c>
      <c r="M278" s="58"/>
      <c r="N278" s="252"/>
      <c r="O278" s="268">
        <f t="shared" si="41"/>
        <v>62256.790000000008</v>
      </c>
      <c r="P278" s="252" t="s">
        <v>724</v>
      </c>
      <c r="Q278" s="252" t="s">
        <v>925</v>
      </c>
    </row>
    <row r="279" spans="1:18" ht="15" customHeight="1">
      <c r="A279" s="246" t="s">
        <v>572</v>
      </c>
      <c r="B279" s="247">
        <v>6000386</v>
      </c>
      <c r="C279" s="153">
        <v>5760001</v>
      </c>
      <c r="D279" s="252" t="s">
        <v>926</v>
      </c>
      <c r="E279" s="153"/>
      <c r="F279" s="265">
        <v>46055.199999999997</v>
      </c>
      <c r="G279" s="265">
        <v>46055.199999999997</v>
      </c>
      <c r="H279" s="266">
        <f t="shared" si="45"/>
        <v>20539.849999999999</v>
      </c>
      <c r="I279" s="265">
        <v>18295.21</v>
      </c>
      <c r="J279" s="265">
        <f>1132.75+317.28</f>
        <v>1450.03</v>
      </c>
      <c r="K279" s="265">
        <f>344.36+96.45</f>
        <v>440.81</v>
      </c>
      <c r="L279" s="265">
        <v>353.8</v>
      </c>
      <c r="M279" s="58"/>
      <c r="N279" s="252"/>
      <c r="O279" s="268">
        <f t="shared" si="41"/>
        <v>25515.35</v>
      </c>
      <c r="P279" s="252" t="s">
        <v>724</v>
      </c>
      <c r="Q279" s="252" t="s">
        <v>927</v>
      </c>
    </row>
    <row r="280" spans="1:18" ht="15" customHeight="1">
      <c r="A280" s="246" t="s">
        <v>572</v>
      </c>
      <c r="B280" s="247">
        <v>6000386</v>
      </c>
      <c r="C280" s="153">
        <v>5922001</v>
      </c>
      <c r="D280" s="252" t="s">
        <v>928</v>
      </c>
      <c r="E280" s="153"/>
      <c r="F280" s="265">
        <v>36129.86</v>
      </c>
      <c r="G280" s="265">
        <v>36129.86</v>
      </c>
      <c r="H280" s="266">
        <f t="shared" si="45"/>
        <v>11729.609999999999</v>
      </c>
      <c r="I280" s="265">
        <v>9484.9699999999993</v>
      </c>
      <c r="J280" s="265">
        <f>1132.75+317.28</f>
        <v>1450.03</v>
      </c>
      <c r="K280" s="265">
        <f>344.36+96.45</f>
        <v>440.81</v>
      </c>
      <c r="L280" s="265">
        <v>353.8</v>
      </c>
      <c r="M280" s="58"/>
      <c r="N280" s="252"/>
      <c r="O280" s="268">
        <f t="shared" si="41"/>
        <v>24400.25</v>
      </c>
      <c r="P280" s="252" t="s">
        <v>789</v>
      </c>
      <c r="Q280" s="252" t="s">
        <v>929</v>
      </c>
    </row>
    <row r="281" spans="1:18" ht="15" customHeight="1">
      <c r="A281" s="246" t="s">
        <v>572</v>
      </c>
      <c r="B281" s="247">
        <v>6000386</v>
      </c>
      <c r="C281" s="153">
        <v>5956002</v>
      </c>
      <c r="D281" s="252" t="s">
        <v>930</v>
      </c>
      <c r="E281" s="153"/>
      <c r="F281" s="265">
        <v>550</v>
      </c>
      <c r="G281" s="265">
        <v>550</v>
      </c>
      <c r="H281" s="266">
        <f t="shared" si="45"/>
        <v>11729.609999999999</v>
      </c>
      <c r="I281" s="265">
        <v>9484.9699999999993</v>
      </c>
      <c r="J281" s="265">
        <f>1132.75+317.28</f>
        <v>1450.03</v>
      </c>
      <c r="K281" s="265">
        <f>344.36+96.45</f>
        <v>440.81</v>
      </c>
      <c r="L281" s="265">
        <v>353.8</v>
      </c>
      <c r="M281" s="58"/>
      <c r="N281" s="252"/>
      <c r="O281" s="268">
        <f t="shared" si="41"/>
        <v>-11179.609999999999</v>
      </c>
      <c r="P281" s="252" t="s">
        <v>789</v>
      </c>
      <c r="Q281" s="252" t="s">
        <v>931</v>
      </c>
      <c r="R281" s="256">
        <f t="shared" ref="R281:R301" si="46">H281/1000</f>
        <v>11.729609999999999</v>
      </c>
    </row>
    <row r="282" spans="1:18" ht="15" customHeight="1">
      <c r="A282" s="246" t="s">
        <v>572</v>
      </c>
      <c r="B282" s="247">
        <v>6000386</v>
      </c>
      <c r="C282" s="153">
        <v>5774001</v>
      </c>
      <c r="D282" s="252" t="s">
        <v>441</v>
      </c>
      <c r="E282" s="153"/>
      <c r="F282" s="265">
        <v>550</v>
      </c>
      <c r="G282" s="265">
        <v>550</v>
      </c>
      <c r="H282" s="266">
        <f t="shared" si="45"/>
        <v>12544.089999999998</v>
      </c>
      <c r="I282" s="265">
        <v>11038</v>
      </c>
      <c r="J282" s="265">
        <f>566.38+317.28</f>
        <v>883.66</v>
      </c>
      <c r="K282" s="265">
        <f>172.18+96.45</f>
        <v>268.63</v>
      </c>
      <c r="L282" s="265">
        <v>353.8</v>
      </c>
      <c r="M282" s="58"/>
      <c r="N282" s="252"/>
      <c r="O282" s="268">
        <f t="shared" si="41"/>
        <v>-11994.089999999998</v>
      </c>
      <c r="P282" s="252" t="s">
        <v>755</v>
      </c>
      <c r="Q282" s="252" t="s">
        <v>932</v>
      </c>
      <c r="R282" s="256">
        <f t="shared" si="46"/>
        <v>12.544089999999999</v>
      </c>
    </row>
    <row r="283" spans="1:18" ht="15" customHeight="1">
      <c r="A283" s="246" t="s">
        <v>572</v>
      </c>
      <c r="B283" s="247">
        <v>6000386</v>
      </c>
      <c r="C283" s="153">
        <v>5939001</v>
      </c>
      <c r="D283" s="252" t="s">
        <v>933</v>
      </c>
      <c r="E283" s="153"/>
      <c r="F283" s="265">
        <v>550</v>
      </c>
      <c r="G283" s="265">
        <v>550</v>
      </c>
      <c r="H283" s="266">
        <f t="shared" si="45"/>
        <v>10072.119999999999</v>
      </c>
      <c r="I283" s="265">
        <v>7890</v>
      </c>
      <c r="J283" s="265">
        <f>477.17+332.51</f>
        <v>809.68000000000006</v>
      </c>
      <c r="K283" s="265">
        <f>145.06+101.08</f>
        <v>246.14</v>
      </c>
      <c r="L283" s="265">
        <v>1126.3</v>
      </c>
      <c r="M283" s="58"/>
      <c r="N283" s="252"/>
      <c r="O283" s="268">
        <f t="shared" si="41"/>
        <v>-9522.119999999999</v>
      </c>
      <c r="P283" s="252" t="s">
        <v>748</v>
      </c>
      <c r="Q283" s="252"/>
      <c r="R283" s="256">
        <f t="shared" si="46"/>
        <v>10.072119999999998</v>
      </c>
    </row>
    <row r="284" spans="1:18" ht="15" customHeight="1">
      <c r="A284" s="246" t="s">
        <v>572</v>
      </c>
      <c r="B284" s="247">
        <v>6000386</v>
      </c>
      <c r="C284" s="153">
        <v>5965001</v>
      </c>
      <c r="D284" s="252" t="s">
        <v>934</v>
      </c>
      <c r="E284" s="153"/>
      <c r="F284" s="265">
        <v>550</v>
      </c>
      <c r="G284" s="265">
        <v>550</v>
      </c>
      <c r="H284" s="266">
        <f t="shared" si="45"/>
        <v>13220.119999999999</v>
      </c>
      <c r="I284" s="265">
        <v>11038</v>
      </c>
      <c r="J284" s="265">
        <f t="shared" ref="J284:J299" si="47">477.17+332.51</f>
        <v>809.68000000000006</v>
      </c>
      <c r="K284" s="265">
        <f t="shared" ref="K284:K299" si="48">145.06+101.08</f>
        <v>246.14</v>
      </c>
      <c r="L284" s="265">
        <v>1126.3</v>
      </c>
      <c r="M284" s="58"/>
      <c r="N284" s="252"/>
      <c r="O284" s="268">
        <f t="shared" si="41"/>
        <v>-12670.119999999999</v>
      </c>
      <c r="P284" s="252" t="s">
        <v>755</v>
      </c>
      <c r="Q284" s="252"/>
      <c r="R284" s="256">
        <f t="shared" si="46"/>
        <v>13.22012</v>
      </c>
    </row>
    <row r="285" spans="1:18" ht="15" customHeight="1">
      <c r="A285" s="246" t="s">
        <v>572</v>
      </c>
      <c r="B285" s="247">
        <v>6000386</v>
      </c>
      <c r="C285" s="153">
        <v>5964001</v>
      </c>
      <c r="D285" s="252" t="s">
        <v>935</v>
      </c>
      <c r="E285" s="153"/>
      <c r="F285" s="265">
        <v>550</v>
      </c>
      <c r="G285" s="265">
        <v>550</v>
      </c>
      <c r="H285" s="266">
        <f t="shared" si="45"/>
        <v>13220.119999999999</v>
      </c>
      <c r="I285" s="265">
        <v>11038</v>
      </c>
      <c r="J285" s="265">
        <f t="shared" si="47"/>
        <v>809.68000000000006</v>
      </c>
      <c r="K285" s="265">
        <f t="shared" si="48"/>
        <v>246.14</v>
      </c>
      <c r="L285" s="265">
        <v>1126.3</v>
      </c>
      <c r="M285" s="58"/>
      <c r="N285" s="252"/>
      <c r="O285" s="268">
        <f t="shared" si="41"/>
        <v>-12670.119999999999</v>
      </c>
      <c r="P285" s="252" t="s">
        <v>755</v>
      </c>
      <c r="Q285" s="252"/>
      <c r="R285" s="256">
        <f t="shared" si="46"/>
        <v>13.22012</v>
      </c>
    </row>
    <row r="286" spans="1:18" ht="15" customHeight="1">
      <c r="A286" s="246" t="s">
        <v>572</v>
      </c>
      <c r="B286" s="247">
        <v>6000386</v>
      </c>
      <c r="C286" s="153">
        <v>5955001</v>
      </c>
      <c r="D286" s="252" t="s">
        <v>936</v>
      </c>
      <c r="E286" s="153"/>
      <c r="F286" s="265">
        <v>550</v>
      </c>
      <c r="G286" s="265">
        <v>550</v>
      </c>
      <c r="H286" s="266">
        <f t="shared" si="45"/>
        <v>13220.119999999999</v>
      </c>
      <c r="I286" s="265">
        <v>11038</v>
      </c>
      <c r="J286" s="265">
        <f t="shared" si="47"/>
        <v>809.68000000000006</v>
      </c>
      <c r="K286" s="265">
        <f t="shared" si="48"/>
        <v>246.14</v>
      </c>
      <c r="L286" s="265">
        <v>1126.3</v>
      </c>
      <c r="M286" s="58"/>
      <c r="N286" s="252"/>
      <c r="O286" s="268">
        <f t="shared" si="41"/>
        <v>-12670.119999999999</v>
      </c>
      <c r="P286" s="252" t="s">
        <v>755</v>
      </c>
      <c r="Q286" s="252"/>
      <c r="R286" s="256">
        <f t="shared" si="46"/>
        <v>13.22012</v>
      </c>
    </row>
    <row r="287" spans="1:18" ht="15" customHeight="1">
      <c r="A287" s="246" t="s">
        <v>572</v>
      </c>
      <c r="B287" s="247">
        <v>6000386</v>
      </c>
      <c r="C287" s="153">
        <v>5959001</v>
      </c>
      <c r="D287" s="252" t="s">
        <v>937</v>
      </c>
      <c r="E287" s="153"/>
      <c r="F287" s="265">
        <v>550</v>
      </c>
      <c r="G287" s="265">
        <v>550</v>
      </c>
      <c r="H287" s="266">
        <f t="shared" si="45"/>
        <v>13220.119999999999</v>
      </c>
      <c r="I287" s="265">
        <v>11038</v>
      </c>
      <c r="J287" s="265">
        <f t="shared" si="47"/>
        <v>809.68000000000006</v>
      </c>
      <c r="K287" s="265">
        <f t="shared" si="48"/>
        <v>246.14</v>
      </c>
      <c r="L287" s="265">
        <v>1126.3</v>
      </c>
      <c r="M287" s="58"/>
      <c r="N287" s="252"/>
      <c r="O287" s="268">
        <f t="shared" si="41"/>
        <v>-12670.119999999999</v>
      </c>
      <c r="P287" s="252" t="s">
        <v>755</v>
      </c>
      <c r="Q287" s="252"/>
      <c r="R287" s="256">
        <f t="shared" si="46"/>
        <v>13.22012</v>
      </c>
    </row>
    <row r="288" spans="1:18" ht="15" customHeight="1">
      <c r="A288" s="246" t="s">
        <v>572</v>
      </c>
      <c r="B288" s="247">
        <v>6000386</v>
      </c>
      <c r="C288" s="153">
        <v>5958001</v>
      </c>
      <c r="D288" s="252" t="s">
        <v>938</v>
      </c>
      <c r="E288" s="153"/>
      <c r="F288" s="265">
        <v>550</v>
      </c>
      <c r="G288" s="265">
        <v>550</v>
      </c>
      <c r="H288" s="266">
        <f t="shared" si="45"/>
        <v>13220.119999999999</v>
      </c>
      <c r="I288" s="265">
        <v>11038</v>
      </c>
      <c r="J288" s="265">
        <f t="shared" si="47"/>
        <v>809.68000000000006</v>
      </c>
      <c r="K288" s="265">
        <f t="shared" si="48"/>
        <v>246.14</v>
      </c>
      <c r="L288" s="265">
        <v>1126.3</v>
      </c>
      <c r="M288" s="58"/>
      <c r="N288" s="252"/>
      <c r="O288" s="268">
        <f t="shared" si="41"/>
        <v>-12670.119999999999</v>
      </c>
      <c r="P288" s="252" t="s">
        <v>755</v>
      </c>
      <c r="Q288" s="252"/>
      <c r="R288" s="256">
        <f t="shared" si="46"/>
        <v>13.22012</v>
      </c>
    </row>
    <row r="289" spans="1:18" ht="15" customHeight="1">
      <c r="A289" s="246" t="s">
        <v>572</v>
      </c>
      <c r="B289" s="247">
        <v>6000386</v>
      </c>
      <c r="C289" s="153">
        <v>5951001</v>
      </c>
      <c r="D289" s="252" t="s">
        <v>939</v>
      </c>
      <c r="E289" s="153"/>
      <c r="F289" s="265">
        <v>550</v>
      </c>
      <c r="G289" s="265">
        <v>550</v>
      </c>
      <c r="H289" s="266">
        <f t="shared" si="45"/>
        <v>13220.119999999999</v>
      </c>
      <c r="I289" s="265">
        <v>11038</v>
      </c>
      <c r="J289" s="265">
        <f t="shared" si="47"/>
        <v>809.68000000000006</v>
      </c>
      <c r="K289" s="265">
        <f t="shared" si="48"/>
        <v>246.14</v>
      </c>
      <c r="L289" s="265">
        <v>1126.3</v>
      </c>
      <c r="M289" s="58"/>
      <c r="N289" s="252"/>
      <c r="O289" s="268">
        <f t="shared" si="41"/>
        <v>-12670.119999999999</v>
      </c>
      <c r="P289" s="252" t="s">
        <v>755</v>
      </c>
      <c r="Q289" s="252"/>
      <c r="R289" s="256">
        <f t="shared" si="46"/>
        <v>13.22012</v>
      </c>
    </row>
    <row r="290" spans="1:18" ht="15" customHeight="1">
      <c r="A290" s="246" t="s">
        <v>572</v>
      </c>
      <c r="B290" s="247">
        <v>6000386</v>
      </c>
      <c r="C290" s="153">
        <v>5952001</v>
      </c>
      <c r="D290" s="252" t="s">
        <v>940</v>
      </c>
      <c r="E290" s="153"/>
      <c r="F290" s="265">
        <v>550</v>
      </c>
      <c r="G290" s="265">
        <v>550</v>
      </c>
      <c r="H290" s="266">
        <f t="shared" si="45"/>
        <v>13220.119999999999</v>
      </c>
      <c r="I290" s="265">
        <v>11038</v>
      </c>
      <c r="J290" s="265">
        <f t="shared" si="47"/>
        <v>809.68000000000006</v>
      </c>
      <c r="K290" s="265">
        <f t="shared" si="48"/>
        <v>246.14</v>
      </c>
      <c r="L290" s="265">
        <v>1126.3</v>
      </c>
      <c r="M290" s="58"/>
      <c r="N290" s="252"/>
      <c r="O290" s="268">
        <f t="shared" si="41"/>
        <v>-12670.119999999999</v>
      </c>
      <c r="P290" s="252" t="s">
        <v>755</v>
      </c>
      <c r="Q290" s="252"/>
      <c r="R290" s="256">
        <f t="shared" si="46"/>
        <v>13.22012</v>
      </c>
    </row>
    <row r="291" spans="1:18" ht="15" customHeight="1">
      <c r="A291" s="246" t="s">
        <v>572</v>
      </c>
      <c r="B291" s="247">
        <v>6000386</v>
      </c>
      <c r="C291" s="153">
        <v>5935001</v>
      </c>
      <c r="D291" s="252" t="s">
        <v>941</v>
      </c>
      <c r="E291" s="153"/>
      <c r="F291" s="265">
        <v>550</v>
      </c>
      <c r="G291" s="265">
        <v>550</v>
      </c>
      <c r="H291" s="266">
        <f t="shared" si="45"/>
        <v>13220.119999999999</v>
      </c>
      <c r="I291" s="265">
        <v>11038</v>
      </c>
      <c r="J291" s="265">
        <f t="shared" si="47"/>
        <v>809.68000000000006</v>
      </c>
      <c r="K291" s="265">
        <f t="shared" si="48"/>
        <v>246.14</v>
      </c>
      <c r="L291" s="265">
        <v>1126.3</v>
      </c>
      <c r="M291" s="58"/>
      <c r="N291" s="252"/>
      <c r="O291" s="268">
        <f t="shared" si="41"/>
        <v>-12670.119999999999</v>
      </c>
      <c r="P291" s="252" t="s">
        <v>755</v>
      </c>
      <c r="Q291" s="252"/>
      <c r="R291" s="256">
        <f t="shared" si="46"/>
        <v>13.22012</v>
      </c>
    </row>
    <row r="292" spans="1:18" ht="15" customHeight="1">
      <c r="A292" s="246" t="s">
        <v>572</v>
      </c>
      <c r="B292" s="247">
        <v>6000386</v>
      </c>
      <c r="C292" s="153">
        <v>3920003</v>
      </c>
      <c r="D292" s="252" t="s">
        <v>451</v>
      </c>
      <c r="E292" s="153"/>
      <c r="F292" s="265">
        <v>550</v>
      </c>
      <c r="G292" s="265">
        <v>550</v>
      </c>
      <c r="H292" s="266">
        <f t="shared" si="45"/>
        <v>13220.119999999999</v>
      </c>
      <c r="I292" s="265">
        <v>11038</v>
      </c>
      <c r="J292" s="265">
        <f t="shared" si="47"/>
        <v>809.68000000000006</v>
      </c>
      <c r="K292" s="265">
        <f t="shared" si="48"/>
        <v>246.14</v>
      </c>
      <c r="L292" s="265">
        <v>1126.3</v>
      </c>
      <c r="M292" s="58"/>
      <c r="N292" s="252"/>
      <c r="O292" s="268">
        <f t="shared" si="41"/>
        <v>-12670.119999999999</v>
      </c>
      <c r="P292" s="252" t="s">
        <v>755</v>
      </c>
      <c r="Q292" s="252"/>
      <c r="R292" s="256">
        <f t="shared" si="46"/>
        <v>13.22012</v>
      </c>
    </row>
    <row r="293" spans="1:18" ht="15" customHeight="1">
      <c r="A293" s="246" t="s">
        <v>572</v>
      </c>
      <c r="B293" s="247">
        <v>6000386</v>
      </c>
      <c r="C293" s="153">
        <v>5841001</v>
      </c>
      <c r="D293" s="252" t="s">
        <v>942</v>
      </c>
      <c r="E293" s="153"/>
      <c r="F293" s="265">
        <v>550</v>
      </c>
      <c r="G293" s="265">
        <v>550</v>
      </c>
      <c r="H293" s="266">
        <f t="shared" si="45"/>
        <v>13220.119999999999</v>
      </c>
      <c r="I293" s="265">
        <v>11038</v>
      </c>
      <c r="J293" s="265">
        <f t="shared" si="47"/>
        <v>809.68000000000006</v>
      </c>
      <c r="K293" s="265">
        <f t="shared" si="48"/>
        <v>246.14</v>
      </c>
      <c r="L293" s="265">
        <v>1126.3</v>
      </c>
      <c r="M293" s="58"/>
      <c r="N293" s="252"/>
      <c r="O293" s="268">
        <f t="shared" si="41"/>
        <v>-12670.119999999999</v>
      </c>
      <c r="P293" s="252" t="s">
        <v>755</v>
      </c>
      <c r="Q293" s="252"/>
      <c r="R293" s="256">
        <f t="shared" si="46"/>
        <v>13.22012</v>
      </c>
    </row>
    <row r="294" spans="1:18" ht="15" customHeight="1">
      <c r="A294" s="246" t="s">
        <v>572</v>
      </c>
      <c r="B294" s="247">
        <v>6000386</v>
      </c>
      <c r="C294" s="153">
        <v>5929001</v>
      </c>
      <c r="D294" s="252" t="s">
        <v>345</v>
      </c>
      <c r="E294" s="153"/>
      <c r="F294" s="265">
        <v>550</v>
      </c>
      <c r="G294" s="265">
        <v>550</v>
      </c>
      <c r="H294" s="266">
        <f t="shared" si="45"/>
        <v>13220.119999999999</v>
      </c>
      <c r="I294" s="265">
        <v>11038</v>
      </c>
      <c r="J294" s="265">
        <f t="shared" si="47"/>
        <v>809.68000000000006</v>
      </c>
      <c r="K294" s="265">
        <f t="shared" si="48"/>
        <v>246.14</v>
      </c>
      <c r="L294" s="265">
        <v>1126.3</v>
      </c>
      <c r="M294" s="58"/>
      <c r="N294" s="252"/>
      <c r="O294" s="268">
        <f t="shared" si="41"/>
        <v>-12670.119999999999</v>
      </c>
      <c r="P294" s="252" t="s">
        <v>755</v>
      </c>
      <c r="Q294" s="252"/>
      <c r="R294" s="256">
        <f t="shared" si="46"/>
        <v>13.22012</v>
      </c>
    </row>
    <row r="295" spans="1:18" ht="15" customHeight="1">
      <c r="A295" s="246" t="s">
        <v>572</v>
      </c>
      <c r="B295" s="247">
        <v>6000386</v>
      </c>
      <c r="C295" s="153">
        <v>4996003</v>
      </c>
      <c r="D295" s="252" t="s">
        <v>444</v>
      </c>
      <c r="E295" s="153"/>
      <c r="F295" s="265">
        <v>550</v>
      </c>
      <c r="G295" s="265">
        <v>550</v>
      </c>
      <c r="H295" s="266">
        <f t="shared" si="45"/>
        <v>13220.119999999999</v>
      </c>
      <c r="I295" s="265">
        <v>11038</v>
      </c>
      <c r="J295" s="265">
        <f t="shared" si="47"/>
        <v>809.68000000000006</v>
      </c>
      <c r="K295" s="265">
        <f t="shared" si="48"/>
        <v>246.14</v>
      </c>
      <c r="L295" s="265">
        <v>1126.3</v>
      </c>
      <c r="M295" s="58"/>
      <c r="N295" s="252"/>
      <c r="O295" s="268">
        <f t="shared" si="41"/>
        <v>-12670.119999999999</v>
      </c>
      <c r="P295" s="252" t="s">
        <v>755</v>
      </c>
      <c r="Q295" s="252"/>
      <c r="R295" s="256">
        <f t="shared" si="46"/>
        <v>13.22012</v>
      </c>
    </row>
    <row r="296" spans="1:18" ht="15" customHeight="1">
      <c r="A296" s="246" t="s">
        <v>572</v>
      </c>
      <c r="B296" s="247">
        <v>6000386</v>
      </c>
      <c r="C296" s="153">
        <v>5925001</v>
      </c>
      <c r="D296" s="252" t="s">
        <v>943</v>
      </c>
      <c r="E296" s="153"/>
      <c r="F296" s="265">
        <v>550</v>
      </c>
      <c r="G296" s="265">
        <v>550</v>
      </c>
      <c r="H296" s="266">
        <f t="shared" si="45"/>
        <v>13220.119999999999</v>
      </c>
      <c r="I296" s="265">
        <v>11038</v>
      </c>
      <c r="J296" s="265">
        <f t="shared" si="47"/>
        <v>809.68000000000006</v>
      </c>
      <c r="K296" s="265">
        <f t="shared" si="48"/>
        <v>246.14</v>
      </c>
      <c r="L296" s="265">
        <v>1126.3</v>
      </c>
      <c r="M296" s="58"/>
      <c r="N296" s="252"/>
      <c r="O296" s="268">
        <f t="shared" si="41"/>
        <v>-12670.119999999999</v>
      </c>
      <c r="P296" s="252" t="s">
        <v>755</v>
      </c>
      <c r="Q296" s="252"/>
      <c r="R296" s="256">
        <f t="shared" si="46"/>
        <v>13.22012</v>
      </c>
    </row>
    <row r="297" spans="1:18" ht="15" customHeight="1">
      <c r="A297" s="246" t="s">
        <v>572</v>
      </c>
      <c r="B297" s="247">
        <v>6000386</v>
      </c>
      <c r="C297" s="153">
        <v>5940001</v>
      </c>
      <c r="D297" s="252" t="s">
        <v>944</v>
      </c>
      <c r="E297" s="153"/>
      <c r="F297" s="265">
        <v>550</v>
      </c>
      <c r="G297" s="265">
        <v>550</v>
      </c>
      <c r="H297" s="266">
        <f t="shared" si="45"/>
        <v>13220.119999999999</v>
      </c>
      <c r="I297" s="265">
        <v>11038</v>
      </c>
      <c r="J297" s="265">
        <f t="shared" si="47"/>
        <v>809.68000000000006</v>
      </c>
      <c r="K297" s="265">
        <f t="shared" si="48"/>
        <v>246.14</v>
      </c>
      <c r="L297" s="265">
        <v>1126.3</v>
      </c>
      <c r="M297" s="58"/>
      <c r="N297" s="252"/>
      <c r="O297" s="268">
        <f t="shared" si="41"/>
        <v>-12670.119999999999</v>
      </c>
      <c r="P297" s="252" t="s">
        <v>755</v>
      </c>
      <c r="Q297" s="252"/>
      <c r="R297" s="256">
        <f t="shared" si="46"/>
        <v>13.22012</v>
      </c>
    </row>
    <row r="298" spans="1:18" ht="15" customHeight="1">
      <c r="A298" s="246" t="s">
        <v>572</v>
      </c>
      <c r="B298" s="247">
        <v>6000386</v>
      </c>
      <c r="C298" s="153">
        <v>5947001</v>
      </c>
      <c r="D298" s="252" t="s">
        <v>945</v>
      </c>
      <c r="E298" s="153"/>
      <c r="F298" s="265">
        <v>550</v>
      </c>
      <c r="G298" s="265">
        <v>550</v>
      </c>
      <c r="H298" s="266">
        <f t="shared" si="45"/>
        <v>13220.119999999999</v>
      </c>
      <c r="I298" s="265">
        <v>11038</v>
      </c>
      <c r="J298" s="265">
        <f t="shared" si="47"/>
        <v>809.68000000000006</v>
      </c>
      <c r="K298" s="265">
        <f t="shared" si="48"/>
        <v>246.14</v>
      </c>
      <c r="L298" s="265">
        <v>1126.3</v>
      </c>
      <c r="M298" s="58"/>
      <c r="N298" s="252"/>
      <c r="O298" s="268">
        <f t="shared" si="41"/>
        <v>-12670.119999999999</v>
      </c>
      <c r="P298" s="252" t="s">
        <v>755</v>
      </c>
      <c r="Q298" s="252"/>
      <c r="R298" s="256">
        <f t="shared" si="46"/>
        <v>13.22012</v>
      </c>
    </row>
    <row r="299" spans="1:18" ht="15" customHeight="1">
      <c r="A299" s="246" t="s">
        <v>572</v>
      </c>
      <c r="B299" s="247">
        <v>6000386</v>
      </c>
      <c r="C299" s="153">
        <v>5945001</v>
      </c>
      <c r="D299" s="252" t="s">
        <v>946</v>
      </c>
      <c r="E299" s="153"/>
      <c r="F299" s="265">
        <v>550</v>
      </c>
      <c r="G299" s="265">
        <v>550</v>
      </c>
      <c r="H299" s="266">
        <f t="shared" si="45"/>
        <v>13220.119999999999</v>
      </c>
      <c r="I299" s="265">
        <v>11038</v>
      </c>
      <c r="J299" s="265">
        <f t="shared" si="47"/>
        <v>809.68000000000006</v>
      </c>
      <c r="K299" s="265">
        <f t="shared" si="48"/>
        <v>246.14</v>
      </c>
      <c r="L299" s="265">
        <v>1126.3</v>
      </c>
      <c r="M299" s="58"/>
      <c r="N299" s="252"/>
      <c r="O299" s="268">
        <f t="shared" si="41"/>
        <v>-12670.119999999999</v>
      </c>
      <c r="P299" s="252" t="s">
        <v>755</v>
      </c>
      <c r="Q299" s="252"/>
      <c r="R299" s="256">
        <f t="shared" si="46"/>
        <v>13.22012</v>
      </c>
    </row>
    <row r="300" spans="1:18" ht="15" customHeight="1">
      <c r="A300" s="246" t="s">
        <v>572</v>
      </c>
      <c r="B300" s="247">
        <v>6000386</v>
      </c>
      <c r="C300" s="153">
        <v>1066002</v>
      </c>
      <c r="D300" s="252" t="s">
        <v>947</v>
      </c>
      <c r="E300" s="153"/>
      <c r="F300" s="265">
        <v>550</v>
      </c>
      <c r="G300" s="265">
        <v>550</v>
      </c>
      <c r="H300" s="266">
        <f t="shared" si="45"/>
        <v>20721.03</v>
      </c>
      <c r="I300" s="265">
        <v>16294.08</v>
      </c>
      <c r="J300" s="265">
        <v>2574.4</v>
      </c>
      <c r="K300" s="265">
        <v>782.61</v>
      </c>
      <c r="L300" s="265">
        <v>1069.94</v>
      </c>
      <c r="M300" s="58"/>
      <c r="N300" s="252"/>
      <c r="O300" s="268">
        <f t="shared" si="41"/>
        <v>-20171.03</v>
      </c>
      <c r="P300" s="252" t="s">
        <v>948</v>
      </c>
      <c r="Q300" s="252" t="s">
        <v>949</v>
      </c>
      <c r="R300" s="256">
        <f t="shared" si="46"/>
        <v>20.721029999999999</v>
      </c>
    </row>
    <row r="301" spans="1:18" ht="15" customHeight="1">
      <c r="A301" s="246" t="s">
        <v>572</v>
      </c>
      <c r="B301" s="247">
        <v>6000386</v>
      </c>
      <c r="C301" s="153">
        <v>2350004</v>
      </c>
      <c r="D301" s="252" t="s">
        <v>950</v>
      </c>
      <c r="E301" s="153"/>
      <c r="F301" s="265">
        <v>550</v>
      </c>
      <c r="G301" s="265">
        <v>550</v>
      </c>
      <c r="H301" s="266">
        <f t="shared" si="45"/>
        <v>7311.62</v>
      </c>
      <c r="I301" s="265">
        <v>5132.16</v>
      </c>
      <c r="J301" s="265">
        <f>807.09+317.28</f>
        <v>1124.3699999999999</v>
      </c>
      <c r="K301" s="265">
        <f>245.35+96.45</f>
        <v>341.8</v>
      </c>
      <c r="L301" s="265">
        <v>713.29</v>
      </c>
      <c r="M301" s="58"/>
      <c r="N301" s="252"/>
      <c r="O301" s="268">
        <f t="shared" si="41"/>
        <v>-6761.62</v>
      </c>
      <c r="P301" s="252" t="s">
        <v>951</v>
      </c>
      <c r="Q301" s="252"/>
      <c r="R301" s="256">
        <f t="shared" si="46"/>
        <v>7.3116199999999996</v>
      </c>
    </row>
    <row r="302" spans="1:18" ht="15" customHeight="1">
      <c r="A302" s="246" t="s">
        <v>572</v>
      </c>
      <c r="B302" s="247">
        <v>6000386</v>
      </c>
      <c r="C302" s="153">
        <v>1876002</v>
      </c>
      <c r="D302" s="252" t="s">
        <v>952</v>
      </c>
      <c r="E302" s="153"/>
      <c r="F302" s="265">
        <v>46055.199999999997</v>
      </c>
      <c r="G302" s="265">
        <v>46055.199999999997</v>
      </c>
      <c r="H302" s="266">
        <f t="shared" si="45"/>
        <v>9035.66</v>
      </c>
      <c r="I302" s="265">
        <v>6856.2</v>
      </c>
      <c r="J302" s="265">
        <f>807.09+317.28</f>
        <v>1124.3699999999999</v>
      </c>
      <c r="K302" s="265">
        <f>245.35+96.45</f>
        <v>341.8</v>
      </c>
      <c r="L302" s="265">
        <v>713.29</v>
      </c>
      <c r="M302" s="58"/>
      <c r="N302" s="252"/>
      <c r="O302" s="268">
        <f t="shared" si="41"/>
        <v>37019.539999999994</v>
      </c>
      <c r="P302" s="252" t="s">
        <v>724</v>
      </c>
      <c r="Q302" s="252"/>
    </row>
    <row r="303" spans="1:18" ht="15" customHeight="1">
      <c r="A303" s="246" t="s">
        <v>572</v>
      </c>
      <c r="B303" s="247">
        <v>6000386</v>
      </c>
      <c r="C303" s="153">
        <v>5047006</v>
      </c>
      <c r="D303" s="252" t="s">
        <v>953</v>
      </c>
      <c r="E303" s="153"/>
      <c r="F303" s="265">
        <v>36129.86</v>
      </c>
      <c r="G303" s="265">
        <v>36129.86</v>
      </c>
      <c r="H303" s="266">
        <f t="shared" si="45"/>
        <v>14257.52</v>
      </c>
      <c r="I303" s="265">
        <v>12078.06</v>
      </c>
      <c r="J303" s="265">
        <f>807.09+317.28</f>
        <v>1124.3699999999999</v>
      </c>
      <c r="K303" s="265">
        <f>245.35+96.45</f>
        <v>341.8</v>
      </c>
      <c r="L303" s="265">
        <v>713.29</v>
      </c>
      <c r="M303" s="58"/>
      <c r="N303" s="252"/>
      <c r="O303" s="268">
        <f t="shared" si="41"/>
        <v>21872.34</v>
      </c>
      <c r="P303" s="252" t="s">
        <v>755</v>
      </c>
      <c r="Q303" s="252"/>
    </row>
    <row r="304" spans="1:18" ht="15" customHeight="1">
      <c r="A304" s="246" t="s">
        <v>572</v>
      </c>
      <c r="B304" s="247">
        <v>6000386</v>
      </c>
      <c r="C304" s="153">
        <v>5967001</v>
      </c>
      <c r="D304" s="252" t="s">
        <v>954</v>
      </c>
      <c r="E304" s="153"/>
      <c r="F304" s="265">
        <v>550</v>
      </c>
      <c r="G304" s="265">
        <v>550</v>
      </c>
      <c r="H304" s="266">
        <f t="shared" si="45"/>
        <v>13784.57</v>
      </c>
      <c r="I304" s="265">
        <v>11602.07</v>
      </c>
      <c r="J304" s="265">
        <f>460.18+332.51</f>
        <v>792.69</v>
      </c>
      <c r="K304" s="265">
        <f>139.9+101.08</f>
        <v>240.98000000000002</v>
      </c>
      <c r="L304" s="265">
        <v>1148.83</v>
      </c>
      <c r="M304" s="58"/>
      <c r="N304" s="252"/>
      <c r="O304" s="268">
        <f t="shared" si="41"/>
        <v>-13234.57</v>
      </c>
      <c r="P304" s="252" t="s">
        <v>755</v>
      </c>
      <c r="Q304" s="267">
        <v>211100130406541</v>
      </c>
      <c r="R304" s="256">
        <f t="shared" ref="R304:R317" si="49">H304/1000</f>
        <v>13.78457</v>
      </c>
    </row>
    <row r="305" spans="1:19" ht="15" customHeight="1">
      <c r="A305" s="246" t="s">
        <v>572</v>
      </c>
      <c r="B305" s="247">
        <v>6000386</v>
      </c>
      <c r="C305" s="153">
        <v>5846001</v>
      </c>
      <c r="D305" s="252" t="s">
        <v>461</v>
      </c>
      <c r="E305" s="153"/>
      <c r="F305" s="265">
        <v>550</v>
      </c>
      <c r="G305" s="265">
        <v>550</v>
      </c>
      <c r="H305" s="266">
        <f t="shared" si="45"/>
        <v>13784.57</v>
      </c>
      <c r="I305" s="265">
        <v>11602.07</v>
      </c>
      <c r="J305" s="265">
        <f t="shared" ref="J305:J315" si="50">460.18+332.51</f>
        <v>792.69</v>
      </c>
      <c r="K305" s="265">
        <f t="shared" ref="K305:K315" si="51">139.9+101.08</f>
        <v>240.98000000000002</v>
      </c>
      <c r="L305" s="265">
        <v>1148.83</v>
      </c>
      <c r="M305" s="58"/>
      <c r="N305" s="252"/>
      <c r="O305" s="268">
        <f t="shared" si="41"/>
        <v>-13234.57</v>
      </c>
      <c r="P305" s="252" t="s">
        <v>755</v>
      </c>
      <c r="Q305" s="267">
        <v>211100040449828</v>
      </c>
      <c r="R305" s="256">
        <f t="shared" si="49"/>
        <v>13.78457</v>
      </c>
    </row>
    <row r="306" spans="1:19" ht="15" customHeight="1">
      <c r="A306" s="246" t="s">
        <v>572</v>
      </c>
      <c r="B306" s="247">
        <v>6000386</v>
      </c>
      <c r="C306" s="153">
        <v>5971002</v>
      </c>
      <c r="D306" s="252" t="s">
        <v>955</v>
      </c>
      <c r="E306" s="153"/>
      <c r="F306" s="265">
        <v>550</v>
      </c>
      <c r="G306" s="265">
        <v>550</v>
      </c>
      <c r="H306" s="266">
        <f t="shared" si="45"/>
        <v>13784.57</v>
      </c>
      <c r="I306" s="265">
        <v>11602.07</v>
      </c>
      <c r="J306" s="265">
        <f t="shared" si="50"/>
        <v>792.69</v>
      </c>
      <c r="K306" s="265">
        <f t="shared" si="51"/>
        <v>240.98000000000002</v>
      </c>
      <c r="L306" s="265">
        <v>1148.83</v>
      </c>
      <c r="M306" s="58"/>
      <c r="N306" s="252"/>
      <c r="O306" s="268">
        <f t="shared" si="41"/>
        <v>-13234.57</v>
      </c>
      <c r="P306" s="252" t="s">
        <v>755</v>
      </c>
      <c r="Q306" s="267">
        <v>211100040449824</v>
      </c>
      <c r="R306" s="256">
        <f t="shared" si="49"/>
        <v>13.78457</v>
      </c>
    </row>
    <row r="307" spans="1:19" ht="15" customHeight="1">
      <c r="A307" s="246" t="s">
        <v>572</v>
      </c>
      <c r="B307" s="247">
        <v>6000386</v>
      </c>
      <c r="C307" s="153">
        <v>5818001</v>
      </c>
      <c r="D307" s="252" t="s">
        <v>449</v>
      </c>
      <c r="E307" s="153"/>
      <c r="F307" s="265">
        <v>550</v>
      </c>
      <c r="G307" s="265">
        <v>550</v>
      </c>
      <c r="H307" s="266">
        <f t="shared" si="45"/>
        <v>13784.57</v>
      </c>
      <c r="I307" s="265">
        <v>11602.07</v>
      </c>
      <c r="J307" s="265">
        <f t="shared" si="50"/>
        <v>792.69</v>
      </c>
      <c r="K307" s="265">
        <f t="shared" si="51"/>
        <v>240.98000000000002</v>
      </c>
      <c r="L307" s="265">
        <v>1148.83</v>
      </c>
      <c r="M307" s="58"/>
      <c r="N307" s="252"/>
      <c r="O307" s="268">
        <f t="shared" si="41"/>
        <v>-13234.57</v>
      </c>
      <c r="P307" s="252" t="s">
        <v>755</v>
      </c>
      <c r="Q307" s="267">
        <v>211100040449834</v>
      </c>
      <c r="R307" s="256">
        <f t="shared" si="49"/>
        <v>13.78457</v>
      </c>
    </row>
    <row r="308" spans="1:19" ht="15" customHeight="1">
      <c r="A308" s="246" t="s">
        <v>572</v>
      </c>
      <c r="B308" s="247">
        <v>6000386</v>
      </c>
      <c r="C308" s="153">
        <v>5968001</v>
      </c>
      <c r="D308" s="252" t="s">
        <v>459</v>
      </c>
      <c r="E308" s="153"/>
      <c r="F308" s="265">
        <v>550</v>
      </c>
      <c r="G308" s="265">
        <v>550</v>
      </c>
      <c r="H308" s="266">
        <f t="shared" si="45"/>
        <v>13784.57</v>
      </c>
      <c r="I308" s="265">
        <v>11602.07</v>
      </c>
      <c r="J308" s="265">
        <f t="shared" si="50"/>
        <v>792.69</v>
      </c>
      <c r="K308" s="265">
        <f t="shared" si="51"/>
        <v>240.98000000000002</v>
      </c>
      <c r="L308" s="265">
        <v>1148.83</v>
      </c>
      <c r="M308" s="58"/>
      <c r="N308" s="252"/>
      <c r="O308" s="268">
        <f t="shared" si="41"/>
        <v>-13234.57</v>
      </c>
      <c r="P308" s="252" t="s">
        <v>755</v>
      </c>
      <c r="Q308" s="267">
        <v>211100040449844</v>
      </c>
      <c r="R308" s="256">
        <f t="shared" si="49"/>
        <v>13.78457</v>
      </c>
    </row>
    <row r="309" spans="1:19" ht="15" customHeight="1">
      <c r="A309" s="246" t="s">
        <v>572</v>
      </c>
      <c r="B309" s="247">
        <v>6000386</v>
      </c>
      <c r="C309" s="153">
        <v>5972001</v>
      </c>
      <c r="D309" s="252" t="s">
        <v>956</v>
      </c>
      <c r="E309" s="153"/>
      <c r="F309" s="265">
        <v>550</v>
      </c>
      <c r="G309" s="265">
        <v>550</v>
      </c>
      <c r="H309" s="266">
        <f t="shared" si="45"/>
        <v>13784.57</v>
      </c>
      <c r="I309" s="265">
        <v>11602.07</v>
      </c>
      <c r="J309" s="265">
        <f t="shared" si="50"/>
        <v>792.69</v>
      </c>
      <c r="K309" s="265">
        <f t="shared" si="51"/>
        <v>240.98000000000002</v>
      </c>
      <c r="L309" s="265">
        <v>1148.83</v>
      </c>
      <c r="M309" s="58"/>
      <c r="N309" s="252"/>
      <c r="O309" s="268">
        <f t="shared" si="41"/>
        <v>-13234.57</v>
      </c>
      <c r="P309" s="252" t="s">
        <v>755</v>
      </c>
      <c r="Q309" s="267">
        <v>211100040449840</v>
      </c>
      <c r="R309" s="256">
        <f t="shared" si="49"/>
        <v>13.78457</v>
      </c>
    </row>
    <row r="310" spans="1:19" ht="15" customHeight="1">
      <c r="A310" s="246" t="s">
        <v>572</v>
      </c>
      <c r="B310" s="247">
        <v>6000386</v>
      </c>
      <c r="C310" s="153">
        <v>5973001</v>
      </c>
      <c r="D310" s="252" t="s">
        <v>957</v>
      </c>
      <c r="E310" s="153"/>
      <c r="F310" s="265">
        <v>550</v>
      </c>
      <c r="G310" s="265">
        <v>550</v>
      </c>
      <c r="H310" s="266">
        <f t="shared" si="45"/>
        <v>13784.57</v>
      </c>
      <c r="I310" s="265">
        <v>11602.07</v>
      </c>
      <c r="J310" s="265">
        <f t="shared" si="50"/>
        <v>792.69</v>
      </c>
      <c r="K310" s="265">
        <f t="shared" si="51"/>
        <v>240.98000000000002</v>
      </c>
      <c r="L310" s="265">
        <v>1148.83</v>
      </c>
      <c r="M310" s="58"/>
      <c r="N310" s="252"/>
      <c r="O310" s="268">
        <f t="shared" si="41"/>
        <v>-13234.57</v>
      </c>
      <c r="P310" s="252" t="s">
        <v>755</v>
      </c>
      <c r="Q310" s="267">
        <v>211100040449821</v>
      </c>
      <c r="R310" s="256">
        <f t="shared" si="49"/>
        <v>13.78457</v>
      </c>
    </row>
    <row r="311" spans="1:19" ht="15" customHeight="1">
      <c r="A311" s="246" t="s">
        <v>572</v>
      </c>
      <c r="B311" s="247">
        <v>6000386</v>
      </c>
      <c r="C311" s="153">
        <v>5901001</v>
      </c>
      <c r="D311" s="252" t="s">
        <v>463</v>
      </c>
      <c r="E311" s="153"/>
      <c r="F311" s="265">
        <v>550</v>
      </c>
      <c r="G311" s="265">
        <v>550</v>
      </c>
      <c r="H311" s="266">
        <f t="shared" si="45"/>
        <v>13784.57</v>
      </c>
      <c r="I311" s="265">
        <v>11602.07</v>
      </c>
      <c r="J311" s="265">
        <f t="shared" si="50"/>
        <v>792.69</v>
      </c>
      <c r="K311" s="265">
        <f t="shared" si="51"/>
        <v>240.98000000000002</v>
      </c>
      <c r="L311" s="265">
        <v>1148.83</v>
      </c>
      <c r="M311" s="58"/>
      <c r="N311" s="252"/>
      <c r="O311" s="268">
        <f t="shared" ref="O311:O321" si="52">G311-H311</f>
        <v>-13234.57</v>
      </c>
      <c r="P311" s="252" t="s">
        <v>755</v>
      </c>
      <c r="Q311" s="267">
        <v>211100040449823</v>
      </c>
      <c r="R311" s="256">
        <f t="shared" si="49"/>
        <v>13.78457</v>
      </c>
    </row>
    <row r="312" spans="1:19" ht="15" customHeight="1">
      <c r="A312" s="246" t="s">
        <v>572</v>
      </c>
      <c r="B312" s="247">
        <v>6000386</v>
      </c>
      <c r="C312" s="153">
        <v>5902001</v>
      </c>
      <c r="D312" s="252" t="s">
        <v>958</v>
      </c>
      <c r="E312" s="153"/>
      <c r="F312" s="265">
        <v>550</v>
      </c>
      <c r="G312" s="265">
        <v>550</v>
      </c>
      <c r="H312" s="266">
        <f t="shared" si="45"/>
        <v>13784.57</v>
      </c>
      <c r="I312" s="265">
        <v>11602.07</v>
      </c>
      <c r="J312" s="265">
        <f t="shared" si="50"/>
        <v>792.69</v>
      </c>
      <c r="K312" s="265">
        <f t="shared" si="51"/>
        <v>240.98000000000002</v>
      </c>
      <c r="L312" s="265">
        <v>1148.83</v>
      </c>
      <c r="M312" s="58"/>
      <c r="N312" s="252"/>
      <c r="O312" s="268">
        <f t="shared" si="52"/>
        <v>-13234.57</v>
      </c>
      <c r="P312" s="252" t="s">
        <v>755</v>
      </c>
      <c r="Q312" s="267">
        <v>211100040449827</v>
      </c>
      <c r="R312" s="256">
        <f t="shared" si="49"/>
        <v>13.78457</v>
      </c>
    </row>
    <row r="313" spans="1:19" ht="15" customHeight="1">
      <c r="A313" s="246" t="s">
        <v>572</v>
      </c>
      <c r="B313" s="247">
        <v>6000386</v>
      </c>
      <c r="C313" s="153">
        <v>5809001</v>
      </c>
      <c r="D313" s="252" t="s">
        <v>455</v>
      </c>
      <c r="E313" s="153"/>
      <c r="F313" s="265">
        <v>550</v>
      </c>
      <c r="G313" s="265">
        <v>550</v>
      </c>
      <c r="H313" s="266">
        <f t="shared" si="45"/>
        <v>13784.57</v>
      </c>
      <c r="I313" s="265">
        <v>11602.07</v>
      </c>
      <c r="J313" s="265">
        <f t="shared" si="50"/>
        <v>792.69</v>
      </c>
      <c r="K313" s="265">
        <f t="shared" si="51"/>
        <v>240.98000000000002</v>
      </c>
      <c r="L313" s="265">
        <v>1148.83</v>
      </c>
      <c r="M313" s="58"/>
      <c r="N313" s="252"/>
      <c r="O313" s="268">
        <f t="shared" si="52"/>
        <v>-13234.57</v>
      </c>
      <c r="P313" s="252" t="s">
        <v>755</v>
      </c>
      <c r="Q313" s="267">
        <v>211100040449838</v>
      </c>
      <c r="R313" s="256">
        <f t="shared" si="49"/>
        <v>13.78457</v>
      </c>
    </row>
    <row r="314" spans="1:19" ht="15" customHeight="1">
      <c r="A314" s="246" t="s">
        <v>572</v>
      </c>
      <c r="B314" s="247">
        <v>6000386</v>
      </c>
      <c r="C314" s="153">
        <v>5829001</v>
      </c>
      <c r="D314" s="252" t="s">
        <v>462</v>
      </c>
      <c r="E314" s="153"/>
      <c r="F314" s="265">
        <v>550</v>
      </c>
      <c r="G314" s="265">
        <v>550</v>
      </c>
      <c r="H314" s="266">
        <f t="shared" si="45"/>
        <v>13784.57</v>
      </c>
      <c r="I314" s="265">
        <v>11602.07</v>
      </c>
      <c r="J314" s="265">
        <f t="shared" si="50"/>
        <v>792.69</v>
      </c>
      <c r="K314" s="265">
        <f t="shared" si="51"/>
        <v>240.98000000000002</v>
      </c>
      <c r="L314" s="265">
        <v>1148.83</v>
      </c>
      <c r="M314" s="58"/>
      <c r="N314" s="252"/>
      <c r="O314" s="268">
        <f t="shared" si="52"/>
        <v>-13234.57</v>
      </c>
      <c r="P314" s="252" t="s">
        <v>755</v>
      </c>
      <c r="Q314" s="267">
        <v>211100130406535</v>
      </c>
      <c r="R314" s="256">
        <f t="shared" si="49"/>
        <v>13.78457</v>
      </c>
    </row>
    <row r="315" spans="1:19" ht="15" customHeight="1">
      <c r="A315" s="246" t="s">
        <v>572</v>
      </c>
      <c r="B315" s="247">
        <v>6000386</v>
      </c>
      <c r="C315" s="153">
        <v>5828001</v>
      </c>
      <c r="D315" s="252" t="s">
        <v>475</v>
      </c>
      <c r="E315" s="153"/>
      <c r="F315" s="265">
        <v>550</v>
      </c>
      <c r="G315" s="265">
        <v>550</v>
      </c>
      <c r="H315" s="266">
        <f t="shared" si="45"/>
        <v>13784.57</v>
      </c>
      <c r="I315" s="265">
        <v>11602.07</v>
      </c>
      <c r="J315" s="265">
        <f t="shared" si="50"/>
        <v>792.69</v>
      </c>
      <c r="K315" s="265">
        <f t="shared" si="51"/>
        <v>240.98000000000002</v>
      </c>
      <c r="L315" s="265">
        <v>1148.83</v>
      </c>
      <c r="M315" s="58"/>
      <c r="N315" s="252"/>
      <c r="O315" s="268">
        <f t="shared" si="52"/>
        <v>-13234.57</v>
      </c>
      <c r="P315" s="252" t="s">
        <v>755</v>
      </c>
      <c r="Q315" s="267">
        <v>211100040449836</v>
      </c>
      <c r="R315" s="256">
        <f t="shared" si="49"/>
        <v>13.78457</v>
      </c>
    </row>
    <row r="316" spans="1:19" ht="15" customHeight="1">
      <c r="A316" s="246" t="s">
        <v>572</v>
      </c>
      <c r="B316" s="247">
        <v>6000386</v>
      </c>
      <c r="C316" s="153">
        <v>5780002</v>
      </c>
      <c r="D316" s="252" t="s">
        <v>959</v>
      </c>
      <c r="E316" s="153"/>
      <c r="F316" s="265">
        <v>550</v>
      </c>
      <c r="G316" s="265">
        <v>550</v>
      </c>
      <c r="H316" s="266">
        <f t="shared" si="45"/>
        <v>13193.17</v>
      </c>
      <c r="I316" s="265">
        <v>11038</v>
      </c>
      <c r="J316" s="265">
        <f>1061.96+317.28</f>
        <v>1379.24</v>
      </c>
      <c r="K316" s="265">
        <f>322.83+96.45</f>
        <v>419.28</v>
      </c>
      <c r="L316" s="265">
        <v>356.65</v>
      </c>
      <c r="M316" s="58"/>
      <c r="N316" s="252"/>
      <c r="O316" s="268">
        <f t="shared" si="52"/>
        <v>-12643.17</v>
      </c>
      <c r="P316" s="252" t="s">
        <v>755</v>
      </c>
      <c r="Q316" s="252" t="s">
        <v>960</v>
      </c>
      <c r="R316" s="256">
        <f t="shared" si="49"/>
        <v>13.19317</v>
      </c>
    </row>
    <row r="317" spans="1:19" ht="15" customHeight="1">
      <c r="A317" s="246" t="s">
        <v>572</v>
      </c>
      <c r="B317" s="247">
        <v>6000386</v>
      </c>
      <c r="C317" s="153">
        <v>5957001</v>
      </c>
      <c r="D317" s="252" t="s">
        <v>961</v>
      </c>
      <c r="E317" s="153"/>
      <c r="F317" s="265">
        <v>550</v>
      </c>
      <c r="G317" s="265">
        <v>550</v>
      </c>
      <c r="H317" s="266">
        <f t="shared" si="45"/>
        <v>9760.25</v>
      </c>
      <c r="I317" s="265">
        <v>7605.08</v>
      </c>
      <c r="J317" s="265">
        <f>1061.96+317.28</f>
        <v>1379.24</v>
      </c>
      <c r="K317" s="265">
        <f>322.83+96.45</f>
        <v>419.28</v>
      </c>
      <c r="L317" s="265">
        <v>356.65</v>
      </c>
      <c r="M317" s="58"/>
      <c r="N317" s="252"/>
      <c r="O317" s="268">
        <f t="shared" si="52"/>
        <v>-9210.25</v>
      </c>
      <c r="P317" s="252" t="s">
        <v>962</v>
      </c>
      <c r="Q317" s="252" t="s">
        <v>963</v>
      </c>
      <c r="R317" s="256">
        <f t="shared" si="49"/>
        <v>9.7602499999999992</v>
      </c>
    </row>
    <row r="318" spans="1:19" ht="15" customHeight="1">
      <c r="A318" s="246" t="s">
        <v>572</v>
      </c>
      <c r="B318" s="247">
        <v>6000386</v>
      </c>
      <c r="C318" s="153">
        <v>5047005</v>
      </c>
      <c r="D318" s="252" t="s">
        <v>953</v>
      </c>
      <c r="E318" s="153"/>
      <c r="F318" s="265">
        <v>36129.86</v>
      </c>
      <c r="G318" s="265">
        <v>36129.86</v>
      </c>
      <c r="H318" s="266">
        <f t="shared" si="45"/>
        <v>12627.99</v>
      </c>
      <c r="I318" s="265">
        <v>10472.82</v>
      </c>
      <c r="J318" s="265">
        <f t="shared" ref="J318:J319" si="53">1061.96+317.28</f>
        <v>1379.24</v>
      </c>
      <c r="K318" s="265">
        <f t="shared" ref="K318:K319" si="54">322.83+96.45</f>
        <v>419.28</v>
      </c>
      <c r="L318" s="265">
        <v>356.65</v>
      </c>
      <c r="M318" s="58"/>
      <c r="N318" s="252"/>
      <c r="O318" s="268">
        <f t="shared" si="52"/>
        <v>23501.870000000003</v>
      </c>
      <c r="P318" s="252" t="s">
        <v>789</v>
      </c>
      <c r="Q318" s="252" t="s">
        <v>964</v>
      </c>
    </row>
    <row r="319" spans="1:19" ht="15" customHeight="1">
      <c r="A319" s="246" t="s">
        <v>572</v>
      </c>
      <c r="B319" s="247">
        <v>6000386</v>
      </c>
      <c r="C319" s="153">
        <v>5942001</v>
      </c>
      <c r="D319" s="252" t="s">
        <v>965</v>
      </c>
      <c r="E319" s="153"/>
      <c r="F319" s="265">
        <v>550</v>
      </c>
      <c r="G319" s="265">
        <v>550</v>
      </c>
      <c r="H319" s="266">
        <f t="shared" si="45"/>
        <v>12589.14</v>
      </c>
      <c r="I319" s="265">
        <v>10433.969999999999</v>
      </c>
      <c r="J319" s="265">
        <f t="shared" si="53"/>
        <v>1379.24</v>
      </c>
      <c r="K319" s="265">
        <f t="shared" si="54"/>
        <v>419.28</v>
      </c>
      <c r="L319" s="265">
        <v>356.65</v>
      </c>
      <c r="M319" s="58"/>
      <c r="N319" s="252"/>
      <c r="O319" s="268">
        <f t="shared" si="52"/>
        <v>-12039.14</v>
      </c>
      <c r="P319" s="252" t="s">
        <v>789</v>
      </c>
      <c r="Q319" s="252" t="s">
        <v>966</v>
      </c>
      <c r="R319" s="256">
        <f>H319/1000</f>
        <v>12.589139999999999</v>
      </c>
    </row>
    <row r="320" spans="1:19" ht="15" customHeight="1">
      <c r="A320" s="246" t="s">
        <v>572</v>
      </c>
      <c r="B320" s="247">
        <v>6000386</v>
      </c>
      <c r="C320" s="153">
        <v>5594028</v>
      </c>
      <c r="D320" s="252" t="s">
        <v>967</v>
      </c>
      <c r="E320" s="153"/>
      <c r="F320" s="265">
        <v>38420.99</v>
      </c>
      <c r="G320" s="265">
        <v>0</v>
      </c>
      <c r="H320" s="266">
        <f t="shared" si="45"/>
        <v>8125.78</v>
      </c>
      <c r="I320" s="265">
        <v>5878.29</v>
      </c>
      <c r="J320" s="265">
        <f>1132.75+317.28</f>
        <v>1450.03</v>
      </c>
      <c r="K320" s="265">
        <f>344.36+96.45</f>
        <v>440.81</v>
      </c>
      <c r="L320" s="265">
        <v>356.65</v>
      </c>
      <c r="M320" s="58"/>
      <c r="N320" s="252"/>
      <c r="O320" s="268">
        <f t="shared" si="52"/>
        <v>-8125.78</v>
      </c>
      <c r="P320" s="252" t="s">
        <v>601</v>
      </c>
      <c r="Q320" s="252" t="s">
        <v>968</v>
      </c>
      <c r="R320" s="158">
        <f>F320/1.2/1000</f>
        <v>32.017491666666665</v>
      </c>
      <c r="S320" s="158">
        <f>H320/1000</f>
        <v>8.1257799999999989</v>
      </c>
    </row>
    <row r="321" spans="1:18" ht="15" customHeight="1">
      <c r="A321" s="252" t="s">
        <v>572</v>
      </c>
      <c r="B321" s="257">
        <v>6000386</v>
      </c>
      <c r="C321" s="153">
        <v>5948001</v>
      </c>
      <c r="D321" s="252" t="s">
        <v>969</v>
      </c>
      <c r="E321" s="153"/>
      <c r="F321" s="263">
        <v>550</v>
      </c>
      <c r="G321" s="263">
        <v>550</v>
      </c>
      <c r="H321" s="264">
        <f t="shared" si="45"/>
        <v>7961.88</v>
      </c>
      <c r="I321" s="263">
        <v>5714.39</v>
      </c>
      <c r="J321" s="263">
        <f>1132.75+317.28</f>
        <v>1450.03</v>
      </c>
      <c r="K321" s="263">
        <f>344.36+96.45</f>
        <v>440.81</v>
      </c>
      <c r="L321" s="263">
        <v>356.65</v>
      </c>
      <c r="M321" s="153"/>
      <c r="N321" s="252"/>
      <c r="O321" s="268">
        <f t="shared" si="52"/>
        <v>-7411.88</v>
      </c>
      <c r="P321" s="252" t="s">
        <v>601</v>
      </c>
      <c r="Q321" s="252" t="s">
        <v>970</v>
      </c>
      <c r="R321" s="256">
        <f>H321/1000</f>
        <v>7.9618799999999998</v>
      </c>
    </row>
    <row r="322" spans="1:18">
      <c r="H322" s="128">
        <f>SUM(H5:H321)</f>
        <v>4150708.49000001</v>
      </c>
    </row>
    <row r="323" spans="1:18">
      <c r="H323" s="128">
        <f>6268349-H322</f>
        <v>2117640.50999999</v>
      </c>
    </row>
    <row r="332" spans="1:18">
      <c r="Q332" s="244" t="s">
        <v>971</v>
      </c>
    </row>
  </sheetData>
  <autoFilter ref="A1:Q332" xr:uid="{00000000-0009-0000-0000-000005000000}"/>
  <mergeCells count="13">
    <mergeCell ref="P3:P4"/>
    <mergeCell ref="Q3:Q4"/>
    <mergeCell ref="N3:O4"/>
    <mergeCell ref="N2:O2"/>
    <mergeCell ref="A3:A4"/>
    <mergeCell ref="B3:B4"/>
    <mergeCell ref="C3:C4"/>
    <mergeCell ref="D3:D4"/>
    <mergeCell ref="E3:E4"/>
    <mergeCell ref="F3:F4"/>
    <mergeCell ref="G3:G4"/>
    <mergeCell ref="H3:L3"/>
    <mergeCell ref="M3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21"/>
  <sheetViews>
    <sheetView workbookViewId="0">
      <selection activeCell="L41" sqref="L41"/>
    </sheetView>
  </sheetViews>
  <sheetFormatPr defaultColWidth="34.140625" defaultRowHeight="12.75"/>
  <cols>
    <col min="1" max="1" width="8.140625" style="224" customWidth="1"/>
    <col min="2" max="2" width="54.140625" style="224" customWidth="1"/>
    <col min="3" max="3" width="19.7109375" style="224" customWidth="1"/>
    <col min="4" max="4" width="38.5703125" style="224" customWidth="1"/>
    <col min="5" max="256" width="34.140625" style="224"/>
    <col min="257" max="257" width="8.140625" style="224" customWidth="1"/>
    <col min="258" max="258" width="54.140625" style="224" customWidth="1"/>
    <col min="259" max="259" width="19.7109375" style="224" customWidth="1"/>
    <col min="260" max="260" width="38.5703125" style="224" customWidth="1"/>
    <col min="261" max="512" width="34.140625" style="224"/>
    <col min="513" max="513" width="8.140625" style="224" customWidth="1"/>
    <col min="514" max="514" width="54.140625" style="224" customWidth="1"/>
    <col min="515" max="515" width="19.7109375" style="224" customWidth="1"/>
    <col min="516" max="516" width="38.5703125" style="224" customWidth="1"/>
    <col min="517" max="768" width="34.140625" style="224"/>
    <col min="769" max="769" width="8.140625" style="224" customWidth="1"/>
    <col min="770" max="770" width="54.140625" style="224" customWidth="1"/>
    <col min="771" max="771" width="19.7109375" style="224" customWidth="1"/>
    <col min="772" max="772" width="38.5703125" style="224" customWidth="1"/>
    <col min="773" max="1024" width="34.140625" style="224"/>
    <col min="1025" max="1025" width="8.140625" style="224" customWidth="1"/>
    <col min="1026" max="1026" width="54.140625" style="224" customWidth="1"/>
    <col min="1027" max="1027" width="19.7109375" style="224" customWidth="1"/>
    <col min="1028" max="1028" width="38.5703125" style="224" customWidth="1"/>
    <col min="1029" max="1280" width="34.140625" style="224"/>
    <col min="1281" max="1281" width="8.140625" style="224" customWidth="1"/>
    <col min="1282" max="1282" width="54.140625" style="224" customWidth="1"/>
    <col min="1283" max="1283" width="19.7109375" style="224" customWidth="1"/>
    <col min="1284" max="1284" width="38.5703125" style="224" customWidth="1"/>
    <col min="1285" max="1536" width="34.140625" style="224"/>
    <col min="1537" max="1537" width="8.140625" style="224" customWidth="1"/>
    <col min="1538" max="1538" width="54.140625" style="224" customWidth="1"/>
    <col min="1539" max="1539" width="19.7109375" style="224" customWidth="1"/>
    <col min="1540" max="1540" width="38.5703125" style="224" customWidth="1"/>
    <col min="1541" max="1792" width="34.140625" style="224"/>
    <col min="1793" max="1793" width="8.140625" style="224" customWidth="1"/>
    <col min="1794" max="1794" width="54.140625" style="224" customWidth="1"/>
    <col min="1795" max="1795" width="19.7109375" style="224" customWidth="1"/>
    <col min="1796" max="1796" width="38.5703125" style="224" customWidth="1"/>
    <col min="1797" max="2048" width="34.140625" style="224"/>
    <col min="2049" max="2049" width="8.140625" style="224" customWidth="1"/>
    <col min="2050" max="2050" width="54.140625" style="224" customWidth="1"/>
    <col min="2051" max="2051" width="19.7109375" style="224" customWidth="1"/>
    <col min="2052" max="2052" width="38.5703125" style="224" customWidth="1"/>
    <col min="2053" max="2304" width="34.140625" style="224"/>
    <col min="2305" max="2305" width="8.140625" style="224" customWidth="1"/>
    <col min="2306" max="2306" width="54.140625" style="224" customWidth="1"/>
    <col min="2307" max="2307" width="19.7109375" style="224" customWidth="1"/>
    <col min="2308" max="2308" width="38.5703125" style="224" customWidth="1"/>
    <col min="2309" max="2560" width="34.140625" style="224"/>
    <col min="2561" max="2561" width="8.140625" style="224" customWidth="1"/>
    <col min="2562" max="2562" width="54.140625" style="224" customWidth="1"/>
    <col min="2563" max="2563" width="19.7109375" style="224" customWidth="1"/>
    <col min="2564" max="2564" width="38.5703125" style="224" customWidth="1"/>
    <col min="2565" max="2816" width="34.140625" style="224"/>
    <col min="2817" max="2817" width="8.140625" style="224" customWidth="1"/>
    <col min="2818" max="2818" width="54.140625" style="224" customWidth="1"/>
    <col min="2819" max="2819" width="19.7109375" style="224" customWidth="1"/>
    <col min="2820" max="2820" width="38.5703125" style="224" customWidth="1"/>
    <col min="2821" max="3072" width="34.140625" style="224"/>
    <col min="3073" max="3073" width="8.140625" style="224" customWidth="1"/>
    <col min="3074" max="3074" width="54.140625" style="224" customWidth="1"/>
    <col min="3075" max="3075" width="19.7109375" style="224" customWidth="1"/>
    <col min="3076" max="3076" width="38.5703125" style="224" customWidth="1"/>
    <col min="3077" max="3328" width="34.140625" style="224"/>
    <col min="3329" max="3329" width="8.140625" style="224" customWidth="1"/>
    <col min="3330" max="3330" width="54.140625" style="224" customWidth="1"/>
    <col min="3331" max="3331" width="19.7109375" style="224" customWidth="1"/>
    <col min="3332" max="3332" width="38.5703125" style="224" customWidth="1"/>
    <col min="3333" max="3584" width="34.140625" style="224"/>
    <col min="3585" max="3585" width="8.140625" style="224" customWidth="1"/>
    <col min="3586" max="3586" width="54.140625" style="224" customWidth="1"/>
    <col min="3587" max="3587" width="19.7109375" style="224" customWidth="1"/>
    <col min="3588" max="3588" width="38.5703125" style="224" customWidth="1"/>
    <col min="3589" max="3840" width="34.140625" style="224"/>
    <col min="3841" max="3841" width="8.140625" style="224" customWidth="1"/>
    <col min="3842" max="3842" width="54.140625" style="224" customWidth="1"/>
    <col min="3843" max="3843" width="19.7109375" style="224" customWidth="1"/>
    <col min="3844" max="3844" width="38.5703125" style="224" customWidth="1"/>
    <col min="3845" max="4096" width="34.140625" style="224"/>
    <col min="4097" max="4097" width="8.140625" style="224" customWidth="1"/>
    <col min="4098" max="4098" width="54.140625" style="224" customWidth="1"/>
    <col min="4099" max="4099" width="19.7109375" style="224" customWidth="1"/>
    <col min="4100" max="4100" width="38.5703125" style="224" customWidth="1"/>
    <col min="4101" max="4352" width="34.140625" style="224"/>
    <col min="4353" max="4353" width="8.140625" style="224" customWidth="1"/>
    <col min="4354" max="4354" width="54.140625" style="224" customWidth="1"/>
    <col min="4355" max="4355" width="19.7109375" style="224" customWidth="1"/>
    <col min="4356" max="4356" width="38.5703125" style="224" customWidth="1"/>
    <col min="4357" max="4608" width="34.140625" style="224"/>
    <col min="4609" max="4609" width="8.140625" style="224" customWidth="1"/>
    <col min="4610" max="4610" width="54.140625" style="224" customWidth="1"/>
    <col min="4611" max="4611" width="19.7109375" style="224" customWidth="1"/>
    <col min="4612" max="4612" width="38.5703125" style="224" customWidth="1"/>
    <col min="4613" max="4864" width="34.140625" style="224"/>
    <col min="4865" max="4865" width="8.140625" style="224" customWidth="1"/>
    <col min="4866" max="4866" width="54.140625" style="224" customWidth="1"/>
    <col min="4867" max="4867" width="19.7109375" style="224" customWidth="1"/>
    <col min="4868" max="4868" width="38.5703125" style="224" customWidth="1"/>
    <col min="4869" max="5120" width="34.140625" style="224"/>
    <col min="5121" max="5121" width="8.140625" style="224" customWidth="1"/>
    <col min="5122" max="5122" width="54.140625" style="224" customWidth="1"/>
    <col min="5123" max="5123" width="19.7109375" style="224" customWidth="1"/>
    <col min="5124" max="5124" width="38.5703125" style="224" customWidth="1"/>
    <col min="5125" max="5376" width="34.140625" style="224"/>
    <col min="5377" max="5377" width="8.140625" style="224" customWidth="1"/>
    <col min="5378" max="5378" width="54.140625" style="224" customWidth="1"/>
    <col min="5379" max="5379" width="19.7109375" style="224" customWidth="1"/>
    <col min="5380" max="5380" width="38.5703125" style="224" customWidth="1"/>
    <col min="5381" max="5632" width="34.140625" style="224"/>
    <col min="5633" max="5633" width="8.140625" style="224" customWidth="1"/>
    <col min="5634" max="5634" width="54.140625" style="224" customWidth="1"/>
    <col min="5635" max="5635" width="19.7109375" style="224" customWidth="1"/>
    <col min="5636" max="5636" width="38.5703125" style="224" customWidth="1"/>
    <col min="5637" max="5888" width="34.140625" style="224"/>
    <col min="5889" max="5889" width="8.140625" style="224" customWidth="1"/>
    <col min="5890" max="5890" width="54.140625" style="224" customWidth="1"/>
    <col min="5891" max="5891" width="19.7109375" style="224" customWidth="1"/>
    <col min="5892" max="5892" width="38.5703125" style="224" customWidth="1"/>
    <col min="5893" max="6144" width="34.140625" style="224"/>
    <col min="6145" max="6145" width="8.140625" style="224" customWidth="1"/>
    <col min="6146" max="6146" width="54.140625" style="224" customWidth="1"/>
    <col min="6147" max="6147" width="19.7109375" style="224" customWidth="1"/>
    <col min="6148" max="6148" width="38.5703125" style="224" customWidth="1"/>
    <col min="6149" max="6400" width="34.140625" style="224"/>
    <col min="6401" max="6401" width="8.140625" style="224" customWidth="1"/>
    <col min="6402" max="6402" width="54.140625" style="224" customWidth="1"/>
    <col min="6403" max="6403" width="19.7109375" style="224" customWidth="1"/>
    <col min="6404" max="6404" width="38.5703125" style="224" customWidth="1"/>
    <col min="6405" max="6656" width="34.140625" style="224"/>
    <col min="6657" max="6657" width="8.140625" style="224" customWidth="1"/>
    <col min="6658" max="6658" width="54.140625" style="224" customWidth="1"/>
    <col min="6659" max="6659" width="19.7109375" style="224" customWidth="1"/>
    <col min="6660" max="6660" width="38.5703125" style="224" customWidth="1"/>
    <col min="6661" max="6912" width="34.140625" style="224"/>
    <col min="6913" max="6913" width="8.140625" style="224" customWidth="1"/>
    <col min="6914" max="6914" width="54.140625" style="224" customWidth="1"/>
    <col min="6915" max="6915" width="19.7109375" style="224" customWidth="1"/>
    <col min="6916" max="6916" width="38.5703125" style="224" customWidth="1"/>
    <col min="6917" max="7168" width="34.140625" style="224"/>
    <col min="7169" max="7169" width="8.140625" style="224" customWidth="1"/>
    <col min="7170" max="7170" width="54.140625" style="224" customWidth="1"/>
    <col min="7171" max="7171" width="19.7109375" style="224" customWidth="1"/>
    <col min="7172" max="7172" width="38.5703125" style="224" customWidth="1"/>
    <col min="7173" max="7424" width="34.140625" style="224"/>
    <col min="7425" max="7425" width="8.140625" style="224" customWidth="1"/>
    <col min="7426" max="7426" width="54.140625" style="224" customWidth="1"/>
    <col min="7427" max="7427" width="19.7109375" style="224" customWidth="1"/>
    <col min="7428" max="7428" width="38.5703125" style="224" customWidth="1"/>
    <col min="7429" max="7680" width="34.140625" style="224"/>
    <col min="7681" max="7681" width="8.140625" style="224" customWidth="1"/>
    <col min="7682" max="7682" width="54.140625" style="224" customWidth="1"/>
    <col min="7683" max="7683" width="19.7109375" style="224" customWidth="1"/>
    <col min="7684" max="7684" width="38.5703125" style="224" customWidth="1"/>
    <col min="7685" max="7936" width="34.140625" style="224"/>
    <col min="7937" max="7937" width="8.140625" style="224" customWidth="1"/>
    <col min="7938" max="7938" width="54.140625" style="224" customWidth="1"/>
    <col min="7939" max="7939" width="19.7109375" style="224" customWidth="1"/>
    <col min="7940" max="7940" width="38.5703125" style="224" customWidth="1"/>
    <col min="7941" max="8192" width="34.140625" style="224"/>
    <col min="8193" max="8193" width="8.140625" style="224" customWidth="1"/>
    <col min="8194" max="8194" width="54.140625" style="224" customWidth="1"/>
    <col min="8195" max="8195" width="19.7109375" style="224" customWidth="1"/>
    <col min="8196" max="8196" width="38.5703125" style="224" customWidth="1"/>
    <col min="8197" max="8448" width="34.140625" style="224"/>
    <col min="8449" max="8449" width="8.140625" style="224" customWidth="1"/>
    <col min="8450" max="8450" width="54.140625" style="224" customWidth="1"/>
    <col min="8451" max="8451" width="19.7109375" style="224" customWidth="1"/>
    <col min="8452" max="8452" width="38.5703125" style="224" customWidth="1"/>
    <col min="8453" max="8704" width="34.140625" style="224"/>
    <col min="8705" max="8705" width="8.140625" style="224" customWidth="1"/>
    <col min="8706" max="8706" width="54.140625" style="224" customWidth="1"/>
    <col min="8707" max="8707" width="19.7109375" style="224" customWidth="1"/>
    <col min="8708" max="8708" width="38.5703125" style="224" customWidth="1"/>
    <col min="8709" max="8960" width="34.140625" style="224"/>
    <col min="8961" max="8961" width="8.140625" style="224" customWidth="1"/>
    <col min="8962" max="8962" width="54.140625" style="224" customWidth="1"/>
    <col min="8963" max="8963" width="19.7109375" style="224" customWidth="1"/>
    <col min="8964" max="8964" width="38.5703125" style="224" customWidth="1"/>
    <col min="8965" max="9216" width="34.140625" style="224"/>
    <col min="9217" max="9217" width="8.140625" style="224" customWidth="1"/>
    <col min="9218" max="9218" width="54.140625" style="224" customWidth="1"/>
    <col min="9219" max="9219" width="19.7109375" style="224" customWidth="1"/>
    <col min="9220" max="9220" width="38.5703125" style="224" customWidth="1"/>
    <col min="9221" max="9472" width="34.140625" style="224"/>
    <col min="9473" max="9473" width="8.140625" style="224" customWidth="1"/>
    <col min="9474" max="9474" width="54.140625" style="224" customWidth="1"/>
    <col min="9475" max="9475" width="19.7109375" style="224" customWidth="1"/>
    <col min="9476" max="9476" width="38.5703125" style="224" customWidth="1"/>
    <col min="9477" max="9728" width="34.140625" style="224"/>
    <col min="9729" max="9729" width="8.140625" style="224" customWidth="1"/>
    <col min="9730" max="9730" width="54.140625" style="224" customWidth="1"/>
    <col min="9731" max="9731" width="19.7109375" style="224" customWidth="1"/>
    <col min="9732" max="9732" width="38.5703125" style="224" customWidth="1"/>
    <col min="9733" max="9984" width="34.140625" style="224"/>
    <col min="9985" max="9985" width="8.140625" style="224" customWidth="1"/>
    <col min="9986" max="9986" width="54.140625" style="224" customWidth="1"/>
    <col min="9987" max="9987" width="19.7109375" style="224" customWidth="1"/>
    <col min="9988" max="9988" width="38.5703125" style="224" customWidth="1"/>
    <col min="9989" max="10240" width="34.140625" style="224"/>
    <col min="10241" max="10241" width="8.140625" style="224" customWidth="1"/>
    <col min="10242" max="10242" width="54.140625" style="224" customWidth="1"/>
    <col min="10243" max="10243" width="19.7109375" style="224" customWidth="1"/>
    <col min="10244" max="10244" width="38.5703125" style="224" customWidth="1"/>
    <col min="10245" max="10496" width="34.140625" style="224"/>
    <col min="10497" max="10497" width="8.140625" style="224" customWidth="1"/>
    <col min="10498" max="10498" width="54.140625" style="224" customWidth="1"/>
    <col min="10499" max="10499" width="19.7109375" style="224" customWidth="1"/>
    <col min="10500" max="10500" width="38.5703125" style="224" customWidth="1"/>
    <col min="10501" max="10752" width="34.140625" style="224"/>
    <col min="10753" max="10753" width="8.140625" style="224" customWidth="1"/>
    <col min="10754" max="10754" width="54.140625" style="224" customWidth="1"/>
    <col min="10755" max="10755" width="19.7109375" style="224" customWidth="1"/>
    <col min="10756" max="10756" width="38.5703125" style="224" customWidth="1"/>
    <col min="10757" max="11008" width="34.140625" style="224"/>
    <col min="11009" max="11009" width="8.140625" style="224" customWidth="1"/>
    <col min="11010" max="11010" width="54.140625" style="224" customWidth="1"/>
    <col min="11011" max="11011" width="19.7109375" style="224" customWidth="1"/>
    <col min="11012" max="11012" width="38.5703125" style="224" customWidth="1"/>
    <col min="11013" max="11264" width="34.140625" style="224"/>
    <col min="11265" max="11265" width="8.140625" style="224" customWidth="1"/>
    <col min="11266" max="11266" width="54.140625" style="224" customWidth="1"/>
    <col min="11267" max="11267" width="19.7109375" style="224" customWidth="1"/>
    <col min="11268" max="11268" width="38.5703125" style="224" customWidth="1"/>
    <col min="11269" max="11520" width="34.140625" style="224"/>
    <col min="11521" max="11521" width="8.140625" style="224" customWidth="1"/>
    <col min="11522" max="11522" width="54.140625" style="224" customWidth="1"/>
    <col min="11523" max="11523" width="19.7109375" style="224" customWidth="1"/>
    <col min="11524" max="11524" width="38.5703125" style="224" customWidth="1"/>
    <col min="11525" max="11776" width="34.140625" style="224"/>
    <col min="11777" max="11777" width="8.140625" style="224" customWidth="1"/>
    <col min="11778" max="11778" width="54.140625" style="224" customWidth="1"/>
    <col min="11779" max="11779" width="19.7109375" style="224" customWidth="1"/>
    <col min="11780" max="11780" width="38.5703125" style="224" customWidth="1"/>
    <col min="11781" max="12032" width="34.140625" style="224"/>
    <col min="12033" max="12033" width="8.140625" style="224" customWidth="1"/>
    <col min="12034" max="12034" width="54.140625" style="224" customWidth="1"/>
    <col min="12035" max="12035" width="19.7109375" style="224" customWidth="1"/>
    <col min="12036" max="12036" width="38.5703125" style="224" customWidth="1"/>
    <col min="12037" max="12288" width="34.140625" style="224"/>
    <col min="12289" max="12289" width="8.140625" style="224" customWidth="1"/>
    <col min="12290" max="12290" width="54.140625" style="224" customWidth="1"/>
    <col min="12291" max="12291" width="19.7109375" style="224" customWidth="1"/>
    <col min="12292" max="12292" width="38.5703125" style="224" customWidth="1"/>
    <col min="12293" max="12544" width="34.140625" style="224"/>
    <col min="12545" max="12545" width="8.140625" style="224" customWidth="1"/>
    <col min="12546" max="12546" width="54.140625" style="224" customWidth="1"/>
    <col min="12547" max="12547" width="19.7109375" style="224" customWidth="1"/>
    <col min="12548" max="12548" width="38.5703125" style="224" customWidth="1"/>
    <col min="12549" max="12800" width="34.140625" style="224"/>
    <col min="12801" max="12801" width="8.140625" style="224" customWidth="1"/>
    <col min="12802" max="12802" width="54.140625" style="224" customWidth="1"/>
    <col min="12803" max="12803" width="19.7109375" style="224" customWidth="1"/>
    <col min="12804" max="12804" width="38.5703125" style="224" customWidth="1"/>
    <col min="12805" max="13056" width="34.140625" style="224"/>
    <col min="13057" max="13057" width="8.140625" style="224" customWidth="1"/>
    <col min="13058" max="13058" width="54.140625" style="224" customWidth="1"/>
    <col min="13059" max="13059" width="19.7109375" style="224" customWidth="1"/>
    <col min="13060" max="13060" width="38.5703125" style="224" customWidth="1"/>
    <col min="13061" max="13312" width="34.140625" style="224"/>
    <col min="13313" max="13313" width="8.140625" style="224" customWidth="1"/>
    <col min="13314" max="13314" width="54.140625" style="224" customWidth="1"/>
    <col min="13315" max="13315" width="19.7109375" style="224" customWidth="1"/>
    <col min="13316" max="13316" width="38.5703125" style="224" customWidth="1"/>
    <col min="13317" max="13568" width="34.140625" style="224"/>
    <col min="13569" max="13569" width="8.140625" style="224" customWidth="1"/>
    <col min="13570" max="13570" width="54.140625" style="224" customWidth="1"/>
    <col min="13571" max="13571" width="19.7109375" style="224" customWidth="1"/>
    <col min="13572" max="13572" width="38.5703125" style="224" customWidth="1"/>
    <col min="13573" max="13824" width="34.140625" style="224"/>
    <col min="13825" max="13825" width="8.140625" style="224" customWidth="1"/>
    <col min="13826" max="13826" width="54.140625" style="224" customWidth="1"/>
    <col min="13827" max="13827" width="19.7109375" style="224" customWidth="1"/>
    <col min="13828" max="13828" width="38.5703125" style="224" customWidth="1"/>
    <col min="13829" max="14080" width="34.140625" style="224"/>
    <col min="14081" max="14081" width="8.140625" style="224" customWidth="1"/>
    <col min="14082" max="14082" width="54.140625" style="224" customWidth="1"/>
    <col min="14083" max="14083" width="19.7109375" style="224" customWidth="1"/>
    <col min="14084" max="14084" width="38.5703125" style="224" customWidth="1"/>
    <col min="14085" max="14336" width="34.140625" style="224"/>
    <col min="14337" max="14337" width="8.140625" style="224" customWidth="1"/>
    <col min="14338" max="14338" width="54.140625" style="224" customWidth="1"/>
    <col min="14339" max="14339" width="19.7109375" style="224" customWidth="1"/>
    <col min="14340" max="14340" width="38.5703125" style="224" customWidth="1"/>
    <col min="14341" max="14592" width="34.140625" style="224"/>
    <col min="14593" max="14593" width="8.140625" style="224" customWidth="1"/>
    <col min="14594" max="14594" width="54.140625" style="224" customWidth="1"/>
    <col min="14595" max="14595" width="19.7109375" style="224" customWidth="1"/>
    <col min="14596" max="14596" width="38.5703125" style="224" customWidth="1"/>
    <col min="14597" max="14848" width="34.140625" style="224"/>
    <col min="14849" max="14849" width="8.140625" style="224" customWidth="1"/>
    <col min="14850" max="14850" width="54.140625" style="224" customWidth="1"/>
    <col min="14851" max="14851" width="19.7109375" style="224" customWidth="1"/>
    <col min="14852" max="14852" width="38.5703125" style="224" customWidth="1"/>
    <col min="14853" max="15104" width="34.140625" style="224"/>
    <col min="15105" max="15105" width="8.140625" style="224" customWidth="1"/>
    <col min="15106" max="15106" width="54.140625" style="224" customWidth="1"/>
    <col min="15107" max="15107" width="19.7109375" style="224" customWidth="1"/>
    <col min="15108" max="15108" width="38.5703125" style="224" customWidth="1"/>
    <col min="15109" max="15360" width="34.140625" style="224"/>
    <col min="15361" max="15361" width="8.140625" style="224" customWidth="1"/>
    <col min="15362" max="15362" width="54.140625" style="224" customWidth="1"/>
    <col min="15363" max="15363" width="19.7109375" style="224" customWidth="1"/>
    <col min="15364" max="15364" width="38.5703125" style="224" customWidth="1"/>
    <col min="15365" max="15616" width="34.140625" style="224"/>
    <col min="15617" max="15617" width="8.140625" style="224" customWidth="1"/>
    <col min="15618" max="15618" width="54.140625" style="224" customWidth="1"/>
    <col min="15619" max="15619" width="19.7109375" style="224" customWidth="1"/>
    <col min="15620" max="15620" width="38.5703125" style="224" customWidth="1"/>
    <col min="15621" max="15872" width="34.140625" style="224"/>
    <col min="15873" max="15873" width="8.140625" style="224" customWidth="1"/>
    <col min="15874" max="15874" width="54.140625" style="224" customWidth="1"/>
    <col min="15875" max="15875" width="19.7109375" style="224" customWidth="1"/>
    <col min="15876" max="15876" width="38.5703125" style="224" customWidth="1"/>
    <col min="15877" max="16128" width="34.140625" style="224"/>
    <col min="16129" max="16129" width="8.140625" style="224" customWidth="1"/>
    <col min="16130" max="16130" width="54.140625" style="224" customWidth="1"/>
    <col min="16131" max="16131" width="19.7109375" style="224" customWidth="1"/>
    <col min="16132" max="16132" width="38.5703125" style="224" customWidth="1"/>
    <col min="16133" max="16384" width="34.140625" style="224"/>
  </cols>
  <sheetData>
    <row r="2" spans="2:4">
      <c r="B2" s="371" t="s">
        <v>549</v>
      </c>
      <c r="C2" s="371"/>
    </row>
    <row r="4" spans="2:4" ht="15.75">
      <c r="B4" s="225" t="s">
        <v>550</v>
      </c>
      <c r="C4" s="226">
        <f>'до 15 кВт_2021 '!H39</f>
        <v>7795.6030654351198</v>
      </c>
    </row>
    <row r="5" spans="2:4" ht="15.75">
      <c r="B5" s="225" t="s">
        <v>551</v>
      </c>
      <c r="C5" s="226">
        <f>'до 150 кВт_2021'!H56</f>
        <v>11287.237646666668</v>
      </c>
    </row>
    <row r="6" spans="2:4" ht="110.25">
      <c r="B6" s="225" t="s">
        <v>552</v>
      </c>
      <c r="C6" s="226">
        <v>-6355.82</v>
      </c>
      <c r="D6" s="227" t="s">
        <v>553</v>
      </c>
    </row>
    <row r="7" spans="2:4" ht="110.25">
      <c r="B7" s="225" t="s">
        <v>552</v>
      </c>
      <c r="C7" s="228">
        <f>'до 150 кВт_2021'!N56</f>
        <v>10841.794007468665</v>
      </c>
      <c r="D7" s="227" t="s">
        <v>554</v>
      </c>
    </row>
    <row r="8" spans="2:4" s="229" customFormat="1">
      <c r="B8" s="230" t="s">
        <v>121</v>
      </c>
      <c r="C8" s="231">
        <f>SUM(C4:C7)</f>
        <v>23568.814719570451</v>
      </c>
    </row>
    <row r="11" spans="2:4" ht="15" hidden="1">
      <c r="B11" s="227" t="s">
        <v>555</v>
      </c>
    </row>
    <row r="12" spans="2:4" hidden="1"/>
    <row r="13" spans="2:4" ht="15.75" hidden="1">
      <c r="B13" s="225" t="s">
        <v>556</v>
      </c>
      <c r="C13" s="232">
        <f>'[11]Корр. ПО'!E8</f>
        <v>5</v>
      </c>
    </row>
    <row r="14" spans="2:4" ht="15.75" hidden="1">
      <c r="B14" s="225" t="s">
        <v>557</v>
      </c>
      <c r="C14" s="233">
        <f>'[11]Корр ИП'!N10</f>
        <v>-8484.5</v>
      </c>
    </row>
    <row r="15" spans="2:4" ht="15.75" hidden="1">
      <c r="B15" s="225" t="s">
        <v>558</v>
      </c>
      <c r="C15" s="232">
        <f>'[11]Расчет процентов по займам'!I20/1000</f>
        <v>1620.5342665753426</v>
      </c>
    </row>
    <row r="16" spans="2:4" ht="15.75" hidden="1">
      <c r="B16" s="225" t="s">
        <v>559</v>
      </c>
      <c r="C16" s="232">
        <f>'[11]Корр. ПР'!J16</f>
        <v>-3600.9190854260232</v>
      </c>
    </row>
    <row r="17" spans="1:4" ht="15.75" hidden="1">
      <c r="B17" s="225" t="s">
        <v>560</v>
      </c>
      <c r="C17" s="232">
        <f>'[11]Корр НР'!O25</f>
        <v>2465.5933959491895</v>
      </c>
    </row>
    <row r="18" spans="1:4" hidden="1">
      <c r="B18" s="234" t="s">
        <v>121</v>
      </c>
      <c r="C18" s="235">
        <f>SUM(C13:C17)</f>
        <v>-7994.2914229014923</v>
      </c>
    </row>
    <row r="21" spans="1:4" ht="15.75" customHeight="1">
      <c r="A21" s="372" t="s">
        <v>561</v>
      </c>
      <c r="B21" s="372"/>
      <c r="C21" s="372"/>
      <c r="D21" s="372"/>
    </row>
  </sheetData>
  <mergeCells count="2">
    <mergeCell ref="B2:C2"/>
    <mergeCell ref="A21:D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до 15 кВт_2021 </vt:lpstr>
      <vt:lpstr>до 150 кВт_2021</vt:lpstr>
      <vt:lpstr>20_2021</vt:lpstr>
      <vt:lpstr>Себестоимость_2019</vt:lpstr>
      <vt:lpstr>08_2021</vt:lpstr>
      <vt:lpstr>ПУ в рамках ТП</vt:lpstr>
      <vt:lpstr>Расчет выпадающих на 2023 год</vt:lpstr>
      <vt:lpstr>'до 15 кВт_2021 '!Заголовки_для_печати</vt:lpstr>
      <vt:lpstr>'08_2021'!Область_печати</vt:lpstr>
      <vt:lpstr>'до 15 кВт_2021 '!Область_печати</vt:lpstr>
      <vt:lpstr>'до 150 кВт_2021'!Область_печати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Наумкин Алексей Михайлович</dc:creator>
  <cp:lastModifiedBy>Емельянова Анна Павловна</cp:lastModifiedBy>
  <cp:lastPrinted>2022-10-08T14:08:58Z</cp:lastPrinted>
  <dcterms:created xsi:type="dcterms:W3CDTF">2015-11-07T08:32:57Z</dcterms:created>
  <dcterms:modified xsi:type="dcterms:W3CDTF">2022-10-11T07:07:56Z</dcterms:modified>
</cp:coreProperties>
</file>